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5520" activeTab="4"/>
  </bookViews>
  <sheets>
    <sheet name="Priklad" sheetId="1" r:id="rId1"/>
    <sheet name="Obecne" sheetId="2" r:id="rId2"/>
    <sheet name="MN" sheetId="3" r:id="rId3"/>
    <sheet name="Pruhyb" sheetId="4" r:id="rId4"/>
    <sheet name="Příklad" sheetId="5" r:id="rId5"/>
  </sheets>
  <definedNames/>
  <calcPr fullCalcOnLoad="1"/>
</workbook>
</file>

<file path=xl/sharedStrings.xml><?xml version="1.0" encoding="utf-8"?>
<sst xmlns="http://schemas.openxmlformats.org/spreadsheetml/2006/main" count="242" uniqueCount="187">
  <si>
    <t>b=</t>
  </si>
  <si>
    <t>d=</t>
  </si>
  <si>
    <r>
      <t>g</t>
    </r>
    <r>
      <rPr>
        <sz val="10"/>
        <rFont val="Arial CE"/>
        <family val="0"/>
      </rPr>
      <t>c=</t>
    </r>
  </si>
  <si>
    <r>
      <t>g</t>
    </r>
    <r>
      <rPr>
        <sz val="10"/>
        <rFont val="Arial"/>
        <family val="2"/>
      </rPr>
      <t>s</t>
    </r>
    <r>
      <rPr>
        <sz val="10"/>
        <rFont val="Arial CE"/>
        <family val="0"/>
      </rPr>
      <t>=</t>
    </r>
  </si>
  <si>
    <r>
      <t>a</t>
    </r>
    <r>
      <rPr>
        <sz val="10"/>
        <rFont val="Arial"/>
        <family val="2"/>
      </rPr>
      <t>cc</t>
    </r>
    <r>
      <rPr>
        <sz val="10"/>
        <rFont val="Arial CE"/>
        <family val="0"/>
      </rPr>
      <t>=</t>
    </r>
  </si>
  <si>
    <t>[kNm]</t>
  </si>
  <si>
    <t>m^2</t>
  </si>
  <si>
    <t>l[m]=</t>
  </si>
  <si>
    <t>A[m^2]=</t>
  </si>
  <si>
    <t>Md[kNm]=</t>
  </si>
  <si>
    <r>
      <t>fcd=acc*fck/</t>
    </r>
    <r>
      <rPr>
        <sz val="10"/>
        <rFont val="Symbol"/>
        <family val="1"/>
      </rPr>
      <t>g</t>
    </r>
    <r>
      <rPr>
        <sz val="10"/>
        <rFont val="Arial CE"/>
        <family val="0"/>
      </rPr>
      <t>c=</t>
    </r>
  </si>
  <si>
    <t>Rozměry</t>
  </si>
  <si>
    <t>Součinitele</t>
  </si>
  <si>
    <t>Beton</t>
  </si>
  <si>
    <t>Výztuž</t>
  </si>
  <si>
    <t>Příklad</t>
  </si>
  <si>
    <t>As</t>
  </si>
  <si>
    <t xml:space="preserve">Md </t>
  </si>
  <si>
    <t>Obdélníkový průřez 1</t>
  </si>
  <si>
    <r>
      <t>x</t>
    </r>
    <r>
      <rPr>
        <sz val="10"/>
        <rFont val="Arial CE"/>
        <family val="0"/>
      </rPr>
      <t>=x/d</t>
    </r>
  </si>
  <si>
    <r>
      <t xml:space="preserve">Stupeň </t>
    </r>
    <r>
      <rPr>
        <sz val="10"/>
        <rFont val="Symbol"/>
        <family val="1"/>
      </rPr>
      <t>r</t>
    </r>
  </si>
  <si>
    <t>qd[kN/m]=</t>
  </si>
  <si>
    <r>
      <t>r</t>
    </r>
    <r>
      <rPr>
        <sz val="10"/>
        <rFont val="Arial CE"/>
        <family val="0"/>
      </rPr>
      <t xml:space="preserve"> [%] =</t>
    </r>
  </si>
  <si>
    <r>
      <t>r</t>
    </r>
    <r>
      <rPr>
        <sz val="10"/>
        <rFont val="Arial CE"/>
        <family val="0"/>
      </rPr>
      <t>min [%] =</t>
    </r>
  </si>
  <si>
    <t>fck [MPa] =</t>
  </si>
  <si>
    <t>0,9 d</t>
  </si>
  <si>
    <r>
      <t>z/d = 1 - 0,4*</t>
    </r>
    <r>
      <rPr>
        <sz val="10"/>
        <rFont val="Symbol"/>
        <family val="1"/>
      </rPr>
      <t>x</t>
    </r>
  </si>
  <si>
    <t>/(b*d^2*fcd)</t>
  </si>
  <si>
    <r>
      <t>r</t>
    </r>
    <r>
      <rPr>
        <sz val="10"/>
        <rFont val="Arial CE"/>
        <family val="0"/>
      </rPr>
      <t xml:space="preserve"> &gt;</t>
    </r>
    <r>
      <rPr>
        <sz val="10"/>
        <rFont val="Symbol"/>
        <family val="1"/>
      </rPr>
      <t>r</t>
    </r>
    <r>
      <rPr>
        <sz val="10"/>
        <rFont val="Arial CE"/>
        <family val="0"/>
      </rPr>
      <t>min ?</t>
    </r>
  </si>
  <si>
    <r>
      <t>x</t>
    </r>
    <r>
      <rPr>
        <sz val="10"/>
        <rFont val="Arial CE"/>
        <family val="0"/>
      </rPr>
      <t>=x/d=</t>
    </r>
  </si>
  <si>
    <r>
      <t>x</t>
    </r>
    <r>
      <rPr>
        <sz val="10"/>
        <rFont val="Arial CE"/>
        <family val="0"/>
      </rPr>
      <t>=x/d&lt;</t>
    </r>
  </si>
  <si>
    <r>
      <t>x</t>
    </r>
    <r>
      <rPr>
        <sz val="10"/>
        <rFont val="Arial"/>
        <family val="2"/>
      </rPr>
      <t>max</t>
    </r>
  </si>
  <si>
    <r>
      <t>x</t>
    </r>
    <r>
      <rPr>
        <sz val="10"/>
        <rFont val="Arial CE"/>
        <family val="0"/>
      </rPr>
      <t>&lt;</t>
    </r>
    <r>
      <rPr>
        <sz val="10"/>
        <rFont val="Symbol"/>
        <family val="1"/>
      </rPr>
      <t>x</t>
    </r>
    <r>
      <rPr>
        <sz val="10"/>
        <rFont val="Arial CE"/>
        <family val="0"/>
      </rPr>
      <t>max?</t>
    </r>
  </si>
  <si>
    <r>
      <t>r</t>
    </r>
    <r>
      <rPr>
        <sz val="10"/>
        <rFont val="Arial CE"/>
        <family val="0"/>
      </rPr>
      <t xml:space="preserve"> max[%] =</t>
    </r>
  </si>
  <si>
    <t>Obecná tabulka</t>
  </si>
  <si>
    <t>První odhad</t>
  </si>
  <si>
    <t>z ~</t>
  </si>
  <si>
    <t>As~Md/(z*fyd)=</t>
  </si>
  <si>
    <t>MH, 10.2002</t>
  </si>
  <si>
    <r>
      <t>fyd=fyk/</t>
    </r>
    <r>
      <rPr>
        <sz val="10"/>
        <rFont val="Symbol"/>
        <family val="1"/>
      </rPr>
      <t>gs</t>
    </r>
    <r>
      <rPr>
        <sz val="10"/>
        <rFont val="Arial CE"/>
        <family val="0"/>
      </rPr>
      <t>=</t>
    </r>
  </si>
  <si>
    <t>fyk [MPa] =</t>
  </si>
  <si>
    <t>Stupeň v.</t>
  </si>
  <si>
    <t xml:space="preserve"> [%]</t>
  </si>
  <si>
    <r>
      <t>e</t>
    </r>
    <r>
      <rPr>
        <sz val="10"/>
        <rFont val="Arial CE"/>
        <family val="0"/>
      </rPr>
      <t>s</t>
    </r>
  </si>
  <si>
    <t>-</t>
  </si>
  <si>
    <t>m = Md/</t>
  </si>
  <si>
    <t>m</t>
  </si>
  <si>
    <t>w</t>
  </si>
  <si>
    <t>Obecný postup</t>
  </si>
  <si>
    <t>m = Md / (b d^2 fcd)</t>
  </si>
  <si>
    <t>fctm=</t>
  </si>
  <si>
    <t>m=</t>
  </si>
  <si>
    <r>
      <t>w</t>
    </r>
    <r>
      <rPr>
        <sz val="10"/>
        <rFont val="Arial CE"/>
        <family val="0"/>
      </rPr>
      <t>=</t>
    </r>
  </si>
  <si>
    <r>
      <t>w</t>
    </r>
    <r>
      <rPr>
        <sz val="10"/>
        <rFont val="Arial CE"/>
        <family val="2"/>
      </rPr>
      <t>max</t>
    </r>
    <r>
      <rPr>
        <sz val="10"/>
        <rFont val="Arial CE"/>
        <family val="0"/>
      </rPr>
      <t>=</t>
    </r>
  </si>
  <si>
    <t>mmax=</t>
  </si>
  <si>
    <t>m&lt;mmax</t>
  </si>
  <si>
    <r>
      <t xml:space="preserve">w </t>
    </r>
    <r>
      <rPr>
        <sz val="10"/>
        <rFont val="Arial CE"/>
        <family val="0"/>
      </rPr>
      <t>=1-(1-2m)^0,5=As fyd / (b d fcd)</t>
    </r>
  </si>
  <si>
    <r>
      <t>x</t>
    </r>
    <r>
      <rPr>
        <i/>
        <sz val="10"/>
        <rFont val="Arial"/>
        <family val="2"/>
      </rPr>
      <t>=x/d</t>
    </r>
  </si>
  <si>
    <t>As[m^2]</t>
  </si>
  <si>
    <t>h=</t>
  </si>
  <si>
    <t>Moment setrvačnosti</t>
  </si>
  <si>
    <t>S=</t>
  </si>
  <si>
    <t>a=</t>
  </si>
  <si>
    <t>St. mom. výztuže</t>
  </si>
  <si>
    <t>Ec=</t>
  </si>
  <si>
    <t>Es=</t>
  </si>
  <si>
    <t>Ec,eff=</t>
  </si>
  <si>
    <t>Křvost od smršťování</t>
  </si>
  <si>
    <t>l=</t>
  </si>
  <si>
    <t>1/rcs=</t>
  </si>
  <si>
    <t>Dlouhodobý průhyb</t>
  </si>
  <si>
    <t>Průhyb od smršťování</t>
  </si>
  <si>
    <t>Celkový průhyb</t>
  </si>
  <si>
    <r>
      <t>d</t>
    </r>
    <r>
      <rPr>
        <sz val="10"/>
        <rFont val="Arial"/>
        <family val="2"/>
      </rPr>
      <t>c=</t>
    </r>
    <r>
      <rPr>
        <sz val="10"/>
        <rFont val="Symbol"/>
        <family val="1"/>
      </rPr>
      <t xml:space="preserve">   </t>
    </r>
  </si>
  <si>
    <r>
      <t>d</t>
    </r>
    <r>
      <rPr>
        <sz val="10"/>
        <rFont val="Arial CE"/>
        <family val="0"/>
      </rPr>
      <t>s=</t>
    </r>
  </si>
  <si>
    <r>
      <t>d</t>
    </r>
    <r>
      <rPr>
        <sz val="10"/>
        <rFont val="Arial"/>
        <family val="2"/>
      </rPr>
      <t>tot</t>
    </r>
    <r>
      <rPr>
        <sz val="10"/>
        <rFont val="Arial CE"/>
        <family val="0"/>
      </rPr>
      <t>=</t>
    </r>
  </si>
  <si>
    <t>I=bh^3/12=</t>
  </si>
  <si>
    <t>Kvazistálá kombinace</t>
  </si>
  <si>
    <t>´=</t>
  </si>
  <si>
    <t>2*(0,005+0,3*0,003)=</t>
  </si>
  <si>
    <t>qd=</t>
  </si>
  <si>
    <r>
      <t>a</t>
    </r>
    <r>
      <rPr>
        <sz val="10"/>
        <rFont val="Arial CE"/>
        <family val="0"/>
      </rPr>
      <t>,e =</t>
    </r>
  </si>
  <si>
    <r>
      <t>e</t>
    </r>
    <r>
      <rPr>
        <sz val="10"/>
        <rFont val="Arial CE"/>
        <family val="0"/>
      </rPr>
      <t>,cs=</t>
    </r>
  </si>
  <si>
    <r>
      <t>f</t>
    </r>
    <r>
      <rPr>
        <sz val="10"/>
        <rFont val="Arial CE"/>
        <family val="0"/>
      </rPr>
      <t>=</t>
    </r>
  </si>
  <si>
    <r>
      <t>d</t>
    </r>
    <r>
      <rPr>
        <sz val="10"/>
        <rFont val="Arial"/>
        <family val="2"/>
      </rPr>
      <t>mezní=</t>
    </r>
    <r>
      <rPr>
        <sz val="10"/>
        <rFont val="Symbol"/>
        <family val="1"/>
      </rPr>
      <t xml:space="preserve">   </t>
    </r>
  </si>
  <si>
    <r>
      <t>d</t>
    </r>
    <r>
      <rPr>
        <sz val="10"/>
        <rFont val="Arial"/>
        <family val="2"/>
      </rPr>
      <t>tot&lt;</t>
    </r>
    <r>
      <rPr>
        <sz val="10"/>
        <rFont val="Symbol"/>
        <family val="1"/>
      </rPr>
      <t>d</t>
    </r>
    <r>
      <rPr>
        <sz val="10"/>
        <rFont val="Arial"/>
        <family val="2"/>
      </rPr>
      <t>tot?</t>
    </r>
  </si>
  <si>
    <t>Efektivní modul</t>
  </si>
  <si>
    <t>n</t>
  </si>
  <si>
    <t>m=0,5(n^2-n)</t>
  </si>
  <si>
    <t>b</t>
  </si>
  <si>
    <t>h</t>
  </si>
  <si>
    <t>Xu =</t>
  </si>
  <si>
    <t>a</t>
  </si>
  <si>
    <r>
      <t>a</t>
    </r>
    <r>
      <rPr>
        <vertAlign val="subscript"/>
        <sz val="10"/>
        <rFont val="Times New Roman"/>
        <family val="1"/>
      </rPr>
      <t>eff</t>
    </r>
  </si>
  <si>
    <t>xu</t>
  </si>
  <si>
    <t>Iu</t>
  </si>
  <si>
    <t>CI</t>
  </si>
  <si>
    <t>xc</t>
  </si>
  <si>
    <t>ro</t>
  </si>
  <si>
    <t>CII</t>
  </si>
  <si>
    <t>M</t>
  </si>
  <si>
    <t>Mcr</t>
  </si>
  <si>
    <t>u</t>
  </si>
  <si>
    <t>1/r</t>
  </si>
  <si>
    <t>q</t>
  </si>
  <si>
    <t>I</t>
  </si>
  <si>
    <t>Ec</t>
  </si>
  <si>
    <t>Es</t>
  </si>
  <si>
    <t>alfa e</t>
  </si>
  <si>
    <t>1/rcs</t>
  </si>
  <si>
    <t>utot</t>
  </si>
  <si>
    <r>
      <t>E</t>
    </r>
    <r>
      <rPr>
        <vertAlign val="subscript"/>
        <sz val="10"/>
        <rFont val="Arial CE"/>
        <family val="2"/>
      </rPr>
      <t>s</t>
    </r>
    <r>
      <rPr>
        <sz val="10"/>
        <rFont val="Arial CE"/>
        <family val="0"/>
      </rPr>
      <t>/E</t>
    </r>
    <r>
      <rPr>
        <vertAlign val="subscript"/>
        <sz val="10"/>
        <rFont val="Arial CE"/>
        <family val="2"/>
      </rPr>
      <t>c,ef</t>
    </r>
  </si>
  <si>
    <r>
      <t>E</t>
    </r>
    <r>
      <rPr>
        <vertAlign val="subscript"/>
        <sz val="10"/>
        <rFont val="Arial CE"/>
        <family val="2"/>
      </rPr>
      <t>s</t>
    </r>
    <r>
      <rPr>
        <sz val="10"/>
        <rFont val="Arial CE"/>
        <family val="0"/>
      </rPr>
      <t>/E</t>
    </r>
    <r>
      <rPr>
        <vertAlign val="subscript"/>
        <sz val="10"/>
        <rFont val="Arial CE"/>
        <family val="2"/>
      </rPr>
      <t>c</t>
    </r>
  </si>
  <si>
    <t>zatížení</t>
  </si>
  <si>
    <t>Moment</t>
  </si>
  <si>
    <t>neutr. osa</t>
  </si>
  <si>
    <t>moment setrvačnosti</t>
  </si>
  <si>
    <t>ohyb. poddajnost</t>
  </si>
  <si>
    <t>mom. setrv.</t>
  </si>
  <si>
    <t>L = 6 m</t>
  </si>
  <si>
    <t>p = 0,003</t>
  </si>
  <si>
    <t>Účinky zatížení</t>
  </si>
  <si>
    <t>2. Mezní stav použitelnosti - kvazistálá kombinace zatížení</t>
  </si>
  <si>
    <t>Návrh výztuže pro mezní stav únosnosti</t>
  </si>
  <si>
    <t>Návrh výztuže</t>
  </si>
  <si>
    <t>C20/25</t>
  </si>
  <si>
    <t>S500</t>
  </si>
  <si>
    <t>Materiál</t>
  </si>
  <si>
    <t>Ec = 29 GPa</t>
  </si>
  <si>
    <t>Es = 200 GPa</t>
  </si>
  <si>
    <t>2Ac/u</t>
  </si>
  <si>
    <t>součinitel dotvarování pro 28 dní, RH 50%</t>
  </si>
  <si>
    <t>f</t>
  </si>
  <si>
    <t>smršťování</t>
  </si>
  <si>
    <t>e</t>
  </si>
  <si>
    <t>Průřez bez trhlin</t>
  </si>
  <si>
    <t>neutrálná osa</t>
  </si>
  <si>
    <t>mom.setrv.</t>
  </si>
  <si>
    <t>MSÚ</t>
  </si>
  <si>
    <t>Ec,eff</t>
  </si>
  <si>
    <t>Průřez s trhlinou</t>
  </si>
  <si>
    <r>
      <t>x</t>
    </r>
    <r>
      <rPr>
        <vertAlign val="subscript"/>
        <sz val="12"/>
        <rFont val="Arial CE"/>
        <family val="2"/>
      </rPr>
      <t>c</t>
    </r>
    <r>
      <rPr>
        <sz val="12"/>
        <rFont val="Arial CE"/>
        <family val="2"/>
      </rPr>
      <t>/</t>
    </r>
    <r>
      <rPr>
        <i/>
        <sz val="12"/>
        <rFont val="Arial CE"/>
        <family val="2"/>
      </rPr>
      <t>d</t>
    </r>
    <r>
      <rPr>
        <sz val="12"/>
        <rFont val="Arial CE"/>
        <family val="2"/>
      </rPr>
      <t xml:space="preserve"> =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-</t>
    </r>
    <r>
      <rPr>
        <sz val="12"/>
        <rFont val="Symbol"/>
        <family val="1"/>
      </rPr>
      <t>a</t>
    </r>
    <r>
      <rPr>
        <vertAlign val="subscript"/>
        <sz val="12"/>
        <rFont val="Arial CE"/>
        <family val="2"/>
      </rPr>
      <t>e</t>
    </r>
    <r>
      <rPr>
        <sz val="12"/>
        <rFont val="Arial CE"/>
        <family val="2"/>
      </rPr>
      <t xml:space="preserve"> </t>
    </r>
    <r>
      <rPr>
        <sz val="12"/>
        <rFont val="Symbol"/>
        <family val="1"/>
      </rPr>
      <t>r + (a</t>
    </r>
    <r>
      <rPr>
        <vertAlign val="subscript"/>
        <sz val="12"/>
        <rFont val="Times New Roman"/>
        <family val="1"/>
      </rPr>
      <t>e</t>
    </r>
    <r>
      <rPr>
        <vertAlign val="superscript"/>
        <sz val="12"/>
        <rFont val="Times New Roman"/>
        <family val="1"/>
      </rPr>
      <t>2</t>
    </r>
    <r>
      <rPr>
        <sz val="12"/>
        <rFont val="Symbol"/>
        <family val="1"/>
      </rPr>
      <t xml:space="preserve"> r</t>
    </r>
    <r>
      <rPr>
        <vertAlign val="superscript"/>
        <sz val="12"/>
        <rFont val="Symbol"/>
        <family val="1"/>
      </rPr>
      <t>2</t>
    </r>
    <r>
      <rPr>
        <sz val="12"/>
        <rFont val="Symbol"/>
        <family val="1"/>
      </rPr>
      <t xml:space="preserve"> +2a</t>
    </r>
    <r>
      <rPr>
        <vertAlign val="subscript"/>
        <sz val="12"/>
        <rFont val="Times New Roman CE"/>
        <family val="1"/>
      </rPr>
      <t>e</t>
    </r>
    <r>
      <rPr>
        <sz val="12"/>
        <rFont val="Symbol"/>
        <family val="1"/>
      </rPr>
      <t xml:space="preserve"> r)</t>
    </r>
    <r>
      <rPr>
        <vertAlign val="superscript"/>
        <sz val="12"/>
        <rFont val="Symbol"/>
        <family val="1"/>
      </rPr>
      <t>0,5</t>
    </r>
    <r>
      <rPr>
        <sz val="12"/>
        <rFont val="Symbol"/>
        <family val="1"/>
      </rPr>
      <t xml:space="preserve"> </t>
    </r>
  </si>
  <si>
    <t>Ic</t>
  </si>
  <si>
    <t>Výpočet průhybu</t>
  </si>
  <si>
    <t>mezní průhyb L/250</t>
  </si>
  <si>
    <t>Příklad na výpočet průhybu nosníku</t>
  </si>
  <si>
    <t>Ocel</t>
  </si>
  <si>
    <t>ohybová poddajnost</t>
  </si>
  <si>
    <t>CI  =</t>
  </si>
  <si>
    <t>Moment na mezi vzniku trhlin</t>
  </si>
  <si>
    <t>u,tot</t>
  </si>
  <si>
    <t>křivost celkem</t>
  </si>
  <si>
    <t>Celkový průhyb od smršťování a dotvarování</t>
  </si>
  <si>
    <t>L/250</t>
  </si>
  <si>
    <t>1. Mezní stav únosnosti (MSÚ)</t>
  </si>
  <si>
    <t>Výpočet průřezových charakteristik a ohybové poddajnosti</t>
  </si>
  <si>
    <t>Mcr =</t>
  </si>
  <si>
    <t>Md</t>
  </si>
  <si>
    <t>MSP</t>
  </si>
  <si>
    <t>x</t>
  </si>
  <si>
    <t>Spolupůsobení betonu mezi trhlinami</t>
  </si>
  <si>
    <r>
      <t xml:space="preserve">1 - </t>
    </r>
    <r>
      <rPr>
        <i/>
        <sz val="10"/>
        <rFont val="Symbol"/>
        <family val="1"/>
      </rPr>
      <t>b</t>
    </r>
    <r>
      <rPr>
        <sz val="6.7"/>
        <rFont val="Symbol"/>
        <family val="1"/>
      </rPr>
      <t>1</t>
    </r>
    <r>
      <rPr>
        <i/>
        <sz val="10"/>
        <rFont val="Symbol"/>
        <family val="1"/>
      </rPr>
      <t>b</t>
    </r>
    <r>
      <rPr>
        <sz val="6.7"/>
        <rFont val="Symbol"/>
        <family val="1"/>
      </rPr>
      <t>2</t>
    </r>
  </si>
  <si>
    <t>požadavek na průhyb</t>
  </si>
  <si>
    <t>od zatížení</t>
  </si>
  <si>
    <t>od smrstovani</t>
  </si>
  <si>
    <t>Vypočtený průhyb celkem</t>
  </si>
  <si>
    <t>průhyb od zatížení</t>
  </si>
  <si>
    <t>průhyb od smrštění</t>
  </si>
  <si>
    <t>průhyb celkem</t>
  </si>
  <si>
    <t>požadavek na průhyb je splněn</t>
  </si>
  <si>
    <t>Zpřesněný způsob výpočtu - uvažují se dva stavy betonového průřezu - stav bez trhlin a s trhlinou</t>
  </si>
  <si>
    <t>Výpočet křivosti od zatížení</t>
  </si>
  <si>
    <r>
      <t>1/r = Md ((1-</t>
    </r>
    <r>
      <rPr>
        <sz val="10"/>
        <rFont val="Symbol"/>
        <family val="1"/>
      </rPr>
      <t>x</t>
    </r>
    <r>
      <rPr>
        <sz val="10"/>
        <rFont val="Arial CE"/>
        <family val="2"/>
      </rPr>
      <t xml:space="preserve">)CI+ </t>
    </r>
    <r>
      <rPr>
        <sz val="10"/>
        <rFont val="Symbol"/>
        <family val="1"/>
      </rPr>
      <t>x</t>
    </r>
    <r>
      <rPr>
        <sz val="10"/>
        <rFont val="Arial CE"/>
        <family val="2"/>
      </rPr>
      <t>CII)</t>
    </r>
  </si>
  <si>
    <r>
      <t>u = 5/48*1/r*L</t>
    </r>
    <r>
      <rPr>
        <vertAlign val="superscript"/>
        <sz val="10"/>
        <rFont val="Arial CE"/>
        <family val="2"/>
      </rPr>
      <t>2</t>
    </r>
  </si>
  <si>
    <t>Výpočet průhybu od přímého zatížení</t>
  </si>
  <si>
    <t>x    =</t>
  </si>
  <si>
    <t>Požadavek na průhyb je splněn</t>
  </si>
  <si>
    <t>CII =</t>
  </si>
  <si>
    <t>Ohybová poddajnost</t>
  </si>
  <si>
    <t>0,022 &lt; 0,024</t>
  </si>
  <si>
    <r>
      <t>M = 1/8 (0,011 +0,3*0,45*0,025+0,3* 0,003)*L</t>
    </r>
    <r>
      <rPr>
        <vertAlign val="superscript"/>
        <sz val="10"/>
        <rFont val="Arial CE"/>
        <family val="2"/>
      </rPr>
      <t>2</t>
    </r>
  </si>
  <si>
    <r>
      <t>M = 1/8 (1,35*0,011+0,3*0,45*0,025 +1,5* 0,003)*L</t>
    </r>
    <r>
      <rPr>
        <vertAlign val="superscript"/>
        <sz val="10"/>
        <rFont val="Arial CE"/>
        <family val="2"/>
      </rPr>
      <t>2</t>
    </r>
  </si>
  <si>
    <t>g = 0,011</t>
  </si>
  <si>
    <t>u,smrst</t>
  </si>
  <si>
    <t>£</t>
  </si>
  <si>
    <t>Zjednodušený způsob výpočtu průhybu</t>
  </si>
  <si>
    <t>Výpočet účinků smršťování uvážen pouze podle zjednodušeného typu řešení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</si>
</sst>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00"/>
  </numFmts>
  <fonts count="42">
    <font>
      <sz val="10"/>
      <name val="Arial CE"/>
      <family val="0"/>
    </font>
    <font>
      <sz val="9.25"/>
      <name val="Arial CE"/>
      <family val="0"/>
    </font>
    <font>
      <sz val="9.5"/>
      <name val="Arial CE"/>
      <family val="0"/>
    </font>
    <font>
      <sz val="10"/>
      <name val="Symbol"/>
      <family val="1"/>
    </font>
    <font>
      <sz val="10"/>
      <name val="Arial"/>
      <family val="2"/>
    </font>
    <font>
      <b/>
      <sz val="9.5"/>
      <name val="Arial CE"/>
      <family val="0"/>
    </font>
    <font>
      <b/>
      <sz val="14"/>
      <color indexed="18"/>
      <name val="Arial CE"/>
      <family val="2"/>
    </font>
    <font>
      <b/>
      <sz val="12"/>
      <color indexed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.25"/>
      <name val="Arial CE"/>
      <family val="0"/>
    </font>
    <font>
      <i/>
      <sz val="10"/>
      <name val="Symbol"/>
      <family val="1"/>
    </font>
    <font>
      <i/>
      <sz val="10"/>
      <name val="Arial"/>
      <family val="2"/>
    </font>
    <font>
      <b/>
      <sz val="10"/>
      <name val="Arial CE"/>
      <family val="2"/>
    </font>
    <font>
      <sz val="8.25"/>
      <name val="Arial CE"/>
      <family val="0"/>
    </font>
    <font>
      <vertAlign val="subscript"/>
      <sz val="10"/>
      <name val="Times New Roman"/>
      <family val="1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i/>
      <sz val="24"/>
      <color indexed="8"/>
      <name val="Times New Roman"/>
      <family val="0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color indexed="8"/>
      <name val="Symbol"/>
      <family val="1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Symbol"/>
      <family val="1"/>
    </font>
    <font>
      <vertAlign val="subscript"/>
      <sz val="12"/>
      <name val="Arial CE"/>
      <family val="2"/>
    </font>
    <font>
      <i/>
      <sz val="12"/>
      <name val="Arial CE"/>
      <family val="2"/>
    </font>
    <font>
      <vertAlign val="subscript"/>
      <sz val="12"/>
      <name val="Times New Roman"/>
      <family val="1"/>
    </font>
    <font>
      <vertAlign val="superscript"/>
      <sz val="12"/>
      <name val="Symbol"/>
      <family val="1"/>
    </font>
    <font>
      <vertAlign val="subscript"/>
      <sz val="12"/>
      <name val="Times New Roman CE"/>
      <family val="1"/>
    </font>
    <font>
      <vertAlign val="superscript"/>
      <sz val="12"/>
      <name val="Times New Roman"/>
      <family val="1"/>
    </font>
    <font>
      <sz val="24"/>
      <color indexed="8"/>
      <name val="Times New Roman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Symbol"/>
      <family val="1"/>
    </font>
    <font>
      <sz val="6.7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66" fontId="0" fillId="4" borderId="0" xfId="0" applyNumberFormat="1" applyFill="1" applyAlignment="1">
      <alignment/>
    </xf>
    <xf numFmtId="0" fontId="14" fillId="5" borderId="0" xfId="0" applyFont="1" applyFill="1" applyAlignment="1">
      <alignment/>
    </xf>
    <xf numFmtId="0" fontId="1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6" borderId="0" xfId="0" applyFill="1" applyAlignment="1">
      <alignment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0" fontId="25" fillId="6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5" borderId="0" xfId="0" applyFill="1" applyAlignment="1">
      <alignment/>
    </xf>
    <xf numFmtId="165" fontId="14" fillId="5" borderId="0" xfId="0" applyNumberFormat="1" applyFont="1" applyFill="1" applyAlignment="1">
      <alignment horizontal="center"/>
    </xf>
    <xf numFmtId="166" fontId="14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14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6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66" fontId="14" fillId="6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/>
    </xf>
    <xf numFmtId="0" fontId="0" fillId="6" borderId="0" xfId="0" applyFill="1" applyAlignment="1">
      <alignment horizontal="left"/>
    </xf>
    <xf numFmtId="0" fontId="28" fillId="6" borderId="0" xfId="0" applyFon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"/>
          <c:w val="0.92625"/>
          <c:h val="0.865"/>
        </c:manualLayout>
      </c:layout>
      <c:scatterChart>
        <c:scatterStyle val="smoothMarker"/>
        <c:varyColors val="0"/>
        <c:ser>
          <c:idx val="2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Priklad!$A$18:$A$26</c:f>
              <c:numCache/>
            </c:numRef>
          </c:xVal>
          <c:yVal>
            <c:numRef>
              <c:f>Priklad!$B$18:$B$26</c:f>
              <c:numCache/>
            </c:numRef>
          </c:yVal>
          <c:smooth val="1"/>
        </c:ser>
        <c:axId val="30135795"/>
        <c:axId val="2786700"/>
      </c:scatterChart>
      <c:valAx>
        <c:axId val="30135795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M/(fcd*b*d^2)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crossBetween val="midCat"/>
        <c:dispUnits/>
      </c:val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Rho=100*A/(b*d)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1357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55"/>
          <c:w val="0.95925"/>
          <c:h val="0.93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Obecne!$A$21:$A$27</c:f>
              <c:numCache/>
            </c:numRef>
          </c:xVal>
          <c:yVal>
            <c:numRef>
              <c:f>Obecne!$B$21:$B$27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Obecne!$A$21:$A$27</c:f>
              <c:numCache/>
            </c:numRef>
          </c:xVal>
          <c:yVal>
            <c:numRef>
              <c:f>Obecne!$D$21:$D$27</c:f>
              <c:numCache/>
            </c:numRef>
          </c:yVal>
          <c:smooth val="1"/>
        </c:ser>
        <c:axId val="25080301"/>
        <c:axId val="24396118"/>
      </c:scatterChart>
      <c:valAx>
        <c:axId val="25080301"/>
        <c:scaling>
          <c:orientation val="minMax"/>
          <c:max val="0.3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24396118"/>
        <c:crosses val="autoZero"/>
        <c:crossBetween val="midCat"/>
        <c:dispUnits/>
      </c:valAx>
      <c:valAx>
        <c:axId val="24396118"/>
        <c:scaling>
          <c:orientation val="minMax"/>
          <c:max val="0.4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5080301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MN!$C$5:$C$23</c:f>
              <c:numCache/>
            </c:numRef>
          </c:xVal>
          <c:yVal>
            <c:numRef>
              <c:f>MN!$E$5:$E$23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MN!$D$5:$D$23</c:f>
              <c:numCache/>
            </c:numRef>
          </c:xVal>
          <c:yVal>
            <c:numRef>
              <c:f>MN!$E$5:$E$23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MN!$B$5:$B$23</c:f>
              <c:numCache/>
            </c:numRef>
          </c:xVal>
          <c:yVal>
            <c:numRef>
              <c:f>MN!$E$5:$E$23</c:f>
              <c:numCache/>
            </c:numRef>
          </c:yVal>
          <c:smooth val="1"/>
        </c:ser>
        <c:axId val="18238471"/>
        <c:axId val="29928512"/>
      </c:scatterChart>
      <c:valAx>
        <c:axId val="18238471"/>
        <c:scaling>
          <c:orientation val="minMax"/>
          <c:max val="0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crossBetween val="midCat"/>
        <c:dispUnits/>
        <c:majorUnit val="0.1"/>
      </c:valAx>
      <c:valAx>
        <c:axId val="29928512"/>
        <c:scaling>
          <c:orientation val="minMax"/>
          <c:max val="1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7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6.emf" /><Relationship Id="rId8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14</xdr:row>
      <xdr:rowOff>0</xdr:rowOff>
    </xdr:from>
    <xdr:to>
      <xdr:col>14</xdr:col>
      <xdr:colOff>85725</xdr:colOff>
      <xdr:row>32</xdr:row>
      <xdr:rowOff>133350</xdr:rowOff>
    </xdr:to>
    <xdr:graphicFrame>
      <xdr:nvGraphicFramePr>
        <xdr:cNvPr id="1" name="Chart 3"/>
        <xdr:cNvGraphicFramePr/>
      </xdr:nvGraphicFramePr>
      <xdr:xfrm>
        <a:off x="5114925" y="2371725"/>
        <a:ext cx="4895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17</xdr:row>
      <xdr:rowOff>38100</xdr:rowOff>
    </xdr:from>
    <xdr:to>
      <xdr:col>13</xdr:col>
      <xdr:colOff>171450</xdr:colOff>
      <xdr:row>36</xdr:row>
      <xdr:rowOff>104775</xdr:rowOff>
    </xdr:to>
    <xdr:grpSp>
      <xdr:nvGrpSpPr>
        <xdr:cNvPr id="1" name="Group 10"/>
        <xdr:cNvGrpSpPr>
          <a:grpSpLocks/>
        </xdr:cNvGrpSpPr>
      </xdr:nvGrpSpPr>
      <xdr:grpSpPr>
        <a:xfrm>
          <a:off x="4600575" y="2895600"/>
          <a:ext cx="5324475" cy="3143250"/>
          <a:chOff x="420" y="308"/>
          <a:chExt cx="497" cy="33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20" y="308"/>
          <a:ext cx="497" cy="33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19050</xdr:rowOff>
    </xdr:from>
    <xdr:to>
      <xdr:col>12</xdr:col>
      <xdr:colOff>219075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4114800" y="666750"/>
        <a:ext cx="4333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vmlDrawing" Target="../drawings/vmlDrawing4.v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9" sqref="C9"/>
    </sheetView>
  </sheetViews>
  <sheetFormatPr defaultColWidth="9.00390625" defaultRowHeight="12.75"/>
  <cols>
    <col min="1" max="1" width="10.125" style="0" customWidth="1"/>
    <col min="2" max="2" width="10.375" style="0" customWidth="1"/>
    <col min="3" max="3" width="8.75390625" style="0" customWidth="1"/>
    <col min="4" max="4" width="14.625" style="0" customWidth="1"/>
    <col min="5" max="5" width="7.125" style="0" customWidth="1"/>
    <col min="6" max="6" width="8.375" style="0" customWidth="1"/>
    <col min="7" max="7" width="7.875" style="0" customWidth="1"/>
  </cols>
  <sheetData>
    <row r="1" spans="1:8" ht="18">
      <c r="A1" s="11" t="s">
        <v>18</v>
      </c>
      <c r="D1" s="3" t="s">
        <v>11</v>
      </c>
      <c r="E1" s="3" t="s">
        <v>0</v>
      </c>
      <c r="F1" s="9">
        <v>0.2</v>
      </c>
      <c r="G1" s="3" t="s">
        <v>1</v>
      </c>
      <c r="H1" s="9">
        <v>0.42</v>
      </c>
    </row>
    <row r="2" spans="1:7" ht="12.75">
      <c r="A2" t="s">
        <v>12</v>
      </c>
      <c r="B2" s="7" t="s">
        <v>2</v>
      </c>
      <c r="C2" s="9">
        <v>1.5</v>
      </c>
      <c r="D2" s="7" t="s">
        <v>4</v>
      </c>
      <c r="E2" s="9">
        <v>1</v>
      </c>
      <c r="F2" s="7" t="s">
        <v>3</v>
      </c>
      <c r="G2" s="9">
        <v>1.15</v>
      </c>
    </row>
    <row r="3" spans="1:7" ht="12.75">
      <c r="A3" t="s">
        <v>13</v>
      </c>
      <c r="B3" s="3" t="s">
        <v>24</v>
      </c>
      <c r="C3" s="9">
        <v>20</v>
      </c>
      <c r="D3" s="3" t="s">
        <v>10</v>
      </c>
      <c r="E3" s="10">
        <f>$C$3*$E$2/$C$2</f>
        <v>13.333333333333334</v>
      </c>
      <c r="F3" s="3" t="s">
        <v>50</v>
      </c>
      <c r="G3" s="9">
        <v>2.2</v>
      </c>
    </row>
    <row r="4" spans="1:5" ht="12.75">
      <c r="A4" t="s">
        <v>14</v>
      </c>
      <c r="B4" s="3" t="s">
        <v>40</v>
      </c>
      <c r="C4" s="9">
        <v>500</v>
      </c>
      <c r="D4" s="3" t="s">
        <v>39</v>
      </c>
      <c r="E4" s="10">
        <f>$C$4/$G$2</f>
        <v>434.7826086956522</v>
      </c>
    </row>
    <row r="5" spans="1:3" ht="12.75">
      <c r="A5" t="s">
        <v>41</v>
      </c>
      <c r="B5" s="4" t="s">
        <v>23</v>
      </c>
      <c r="C5" s="19">
        <f>MAX(100*0.26*$G$3/$C$4,0.13)</f>
        <v>0.13</v>
      </c>
    </row>
    <row r="6" spans="1:3" ht="12.75">
      <c r="A6" s="13" t="s">
        <v>30</v>
      </c>
      <c r="B6" s="13" t="s">
        <v>31</v>
      </c>
      <c r="C6" s="9">
        <v>0.45</v>
      </c>
    </row>
    <row r="7" spans="1:3" ht="15.75">
      <c r="A7" s="12" t="s">
        <v>15</v>
      </c>
      <c r="B7" s="3" t="s">
        <v>7</v>
      </c>
      <c r="C7" s="1">
        <v>6</v>
      </c>
    </row>
    <row r="8" spans="2:3" ht="12.75">
      <c r="B8" s="5" t="s">
        <v>21</v>
      </c>
      <c r="C8">
        <v>20</v>
      </c>
    </row>
    <row r="9" spans="2:3" ht="12.75">
      <c r="B9" s="5" t="s">
        <v>9</v>
      </c>
      <c r="C9">
        <f>$C$8*$C$7^2/8</f>
        <v>90</v>
      </c>
    </row>
    <row r="10" spans="2:3" ht="12.75">
      <c r="B10" s="3" t="s">
        <v>8</v>
      </c>
      <c r="C10" s="2">
        <f>($E$3/$E$4)*$F$1*$H$1*(1-SQRT(1-2*0.001*$C$9/($E$3*$F$1*$H$1*$H$1)))</f>
        <v>0.0005520000000000001</v>
      </c>
    </row>
    <row r="11" spans="2:3" ht="12.75">
      <c r="B11" s="7" t="s">
        <v>22</v>
      </c>
      <c r="C11" s="1">
        <f>100*$C$10/$F$1/$H$1</f>
        <v>0.6571428571428573</v>
      </c>
    </row>
    <row r="12" spans="2:3" ht="12.75">
      <c r="B12" s="7" t="s">
        <v>28</v>
      </c>
      <c r="C12" t="b">
        <f>IF($C$11&gt;$C$5,TRUE,FALSE)</f>
        <v>1</v>
      </c>
    </row>
    <row r="13" spans="2:3" ht="12.75">
      <c r="B13" s="13" t="s">
        <v>29</v>
      </c>
      <c r="C13" s="1">
        <f>0.01*C11*$E$4/(0.8*$E$3)</f>
        <v>0.26785714285714285</v>
      </c>
    </row>
    <row r="14" spans="2:5" ht="12.75">
      <c r="B14" s="13" t="s">
        <v>32</v>
      </c>
      <c r="C14" t="b">
        <f>IF(C13&lt;$C$6,TRUE,FALSE)</f>
        <v>1</v>
      </c>
      <c r="D14" s="7" t="s">
        <v>33</v>
      </c>
      <c r="E14" s="1">
        <f>100*$C$6*0.8*$E$3/$E$4</f>
        <v>1.1039999999999999</v>
      </c>
    </row>
    <row r="15" ht="15.75">
      <c r="A15" s="12" t="s">
        <v>34</v>
      </c>
    </row>
    <row r="16" spans="1:7" ht="12.75">
      <c r="A16" s="6" t="s">
        <v>45</v>
      </c>
      <c r="B16" s="6" t="s">
        <v>20</v>
      </c>
      <c r="C16" s="13" t="s">
        <v>19</v>
      </c>
      <c r="D16" s="6" t="s">
        <v>26</v>
      </c>
      <c r="E16" s="13" t="s">
        <v>43</v>
      </c>
      <c r="F16" s="14" t="s">
        <v>16</v>
      </c>
      <c r="G16" s="6" t="s">
        <v>17</v>
      </c>
    </row>
    <row r="17" spans="1:7" ht="12.75">
      <c r="A17" s="6" t="s">
        <v>27</v>
      </c>
      <c r="B17" s="6" t="s">
        <v>42</v>
      </c>
      <c r="C17" s="6"/>
      <c r="D17" s="6"/>
      <c r="E17" s="6" t="s">
        <v>42</v>
      </c>
      <c r="F17" s="6" t="s">
        <v>6</v>
      </c>
      <c r="G17" s="6" t="s">
        <v>5</v>
      </c>
    </row>
    <row r="18" spans="1:7" ht="12.75">
      <c r="A18" s="8">
        <v>0</v>
      </c>
      <c r="B18" s="14">
        <f>100*($E$3/$E$4)*(1-SQRT(1-2*A18))</f>
        <v>0</v>
      </c>
      <c r="C18" s="8">
        <f>0.01*B18*$E$4/(0.8*$E$3)</f>
        <v>0</v>
      </c>
      <c r="D18" s="8">
        <f>1-0.4*C18</f>
        <v>1</v>
      </c>
      <c r="E18" s="6" t="s">
        <v>44</v>
      </c>
      <c r="F18" s="14">
        <f aca="true" t="shared" si="0" ref="F18:F26">0.01*B18*$F$1*$H$1</f>
        <v>0</v>
      </c>
      <c r="G18" s="15">
        <f aca="true" t="shared" si="1" ref="G18:G26">1000*$E$3*A18*$F$1*$H$1*$H$1</f>
        <v>0</v>
      </c>
    </row>
    <row r="19" spans="1:7" ht="12.75">
      <c r="A19" s="8">
        <v>0.05</v>
      </c>
      <c r="B19" s="14">
        <f aca="true" t="shared" si="2" ref="B19:B26">100*($E$3/$E$4)*(1-SQRT(1-2*A19))</f>
        <v>0.1573712193117578</v>
      </c>
      <c r="C19" s="8">
        <f aca="true" t="shared" si="3" ref="C19:C26">0.01*B19*$E$4/(0.8*$E$3)</f>
        <v>0.06414587743685779</v>
      </c>
      <c r="D19" s="8">
        <f aca="true" t="shared" si="4" ref="D19:D26">1-0.4*C19</f>
        <v>0.9743416490252569</v>
      </c>
      <c r="E19" s="8">
        <f>0.35*(1/C19-1)</f>
        <v>5.106313234541435</v>
      </c>
      <c r="F19" s="14">
        <f t="shared" si="0"/>
        <v>0.00013219182422187655</v>
      </c>
      <c r="G19" s="15">
        <f t="shared" si="1"/>
        <v>23.52</v>
      </c>
    </row>
    <row r="20" spans="1:7" ht="12.75">
      <c r="A20" s="16">
        <v>0.1</v>
      </c>
      <c r="B20" s="17">
        <f t="shared" si="2"/>
        <v>0.32375661426692476</v>
      </c>
      <c r="C20" s="16">
        <f t="shared" si="3"/>
        <v>0.13196601125010518</v>
      </c>
      <c r="D20" s="16">
        <f t="shared" si="4"/>
        <v>0.9472135954999579</v>
      </c>
      <c r="E20" s="16">
        <f aca="true" t="shared" si="5" ref="E20:E26">0.35*(1/C20-1)</f>
        <v>2.3021980673998814</v>
      </c>
      <c r="F20" s="17">
        <f t="shared" si="0"/>
        <v>0.00027195555598421683</v>
      </c>
      <c r="G20" s="18">
        <f t="shared" si="1"/>
        <v>47.04</v>
      </c>
    </row>
    <row r="21" spans="1:7" ht="12.75">
      <c r="A21" s="20">
        <v>0.15</v>
      </c>
      <c r="B21" s="21">
        <f t="shared" si="2"/>
        <v>0.5009092519621683</v>
      </c>
      <c r="C21" s="20">
        <f t="shared" si="3"/>
        <v>0.20417496683240555</v>
      </c>
      <c r="D21" s="20">
        <f t="shared" si="4"/>
        <v>0.9183300132670378</v>
      </c>
      <c r="E21" s="20">
        <f t="shared" si="5"/>
        <v>1.3642160247651371</v>
      </c>
      <c r="F21" s="21">
        <f t="shared" si="0"/>
        <v>0.0004207637716482214</v>
      </c>
      <c r="G21" s="22">
        <f t="shared" si="1"/>
        <v>70.56</v>
      </c>
    </row>
    <row r="22" spans="1:7" ht="12.75">
      <c r="A22" s="8">
        <v>0.2</v>
      </c>
      <c r="B22" s="14">
        <f t="shared" si="2"/>
        <v>0.6912368809927842</v>
      </c>
      <c r="C22" s="8">
        <f t="shared" si="3"/>
        <v>0.2817541634481457</v>
      </c>
      <c r="D22" s="8">
        <f t="shared" si="4"/>
        <v>0.8872983346207417</v>
      </c>
      <c r="E22" s="8">
        <f t="shared" si="5"/>
        <v>0.8922176684690386</v>
      </c>
      <c r="F22" s="14">
        <f t="shared" si="0"/>
        <v>0.0005806389800339387</v>
      </c>
      <c r="G22" s="15">
        <f t="shared" si="1"/>
        <v>94.08</v>
      </c>
    </row>
    <row r="23" spans="1:7" ht="12.75">
      <c r="A23" s="8">
        <v>0.25</v>
      </c>
      <c r="B23" s="14">
        <f t="shared" si="2"/>
        <v>0.8982058710279208</v>
      </c>
      <c r="C23" s="8">
        <f t="shared" si="3"/>
        <v>0.36611652351681556</v>
      </c>
      <c r="D23" s="8">
        <f t="shared" si="4"/>
        <v>0.8535533905932737</v>
      </c>
      <c r="E23" s="8">
        <f t="shared" si="5"/>
        <v>0.6059797974644666</v>
      </c>
      <c r="F23" s="14">
        <f t="shared" si="0"/>
        <v>0.0007544929316634535</v>
      </c>
      <c r="G23" s="15">
        <f t="shared" si="1"/>
        <v>117.6</v>
      </c>
    </row>
    <row r="24" spans="1:7" ht="12.75">
      <c r="A24" s="16">
        <v>0.3</v>
      </c>
      <c r="B24" s="17">
        <f t="shared" si="2"/>
        <v>1.1271363684300606</v>
      </c>
      <c r="C24" s="16">
        <f t="shared" si="3"/>
        <v>0.4594305849579051</v>
      </c>
      <c r="D24" s="16">
        <f t="shared" si="4"/>
        <v>0.816227766016838</v>
      </c>
      <c r="E24" s="16">
        <f t="shared" si="5"/>
        <v>0.4118125816157154</v>
      </c>
      <c r="F24" s="17">
        <f t="shared" si="0"/>
        <v>0.0009467945494812509</v>
      </c>
      <c r="G24" s="18">
        <f t="shared" si="1"/>
        <v>141.12</v>
      </c>
    </row>
    <row r="25" spans="1:7" ht="12.75">
      <c r="A25" s="8">
        <v>0.35</v>
      </c>
      <c r="B25" s="14">
        <f t="shared" si="2"/>
        <v>1.3869841569841572</v>
      </c>
      <c r="C25" s="8">
        <f t="shared" si="3"/>
        <v>0.5653468031185424</v>
      </c>
      <c r="D25" s="8">
        <f t="shared" si="4"/>
        <v>0.773861278752583</v>
      </c>
      <c r="E25" s="8">
        <f t="shared" si="5"/>
        <v>0.26908902300206644</v>
      </c>
      <c r="F25" s="14">
        <f t="shared" si="0"/>
        <v>0.0011650666918666922</v>
      </c>
      <c r="G25" s="15">
        <f t="shared" si="1"/>
        <v>164.64000000000001</v>
      </c>
    </row>
    <row r="26" spans="1:7" ht="12.75">
      <c r="A26" s="8">
        <v>0.4</v>
      </c>
      <c r="B26" s="14">
        <f t="shared" si="2"/>
        <v>1.695211640466796</v>
      </c>
      <c r="C26" s="8">
        <f t="shared" si="3"/>
        <v>0.6909830056250528</v>
      </c>
      <c r="D26" s="8">
        <f t="shared" si="4"/>
        <v>0.7236067977499789</v>
      </c>
      <c r="E26" s="8">
        <f t="shared" si="5"/>
        <v>0.1565247584249851</v>
      </c>
      <c r="F26" s="14">
        <f t="shared" si="0"/>
        <v>0.0014239777779921088</v>
      </c>
      <c r="G26" s="15">
        <f t="shared" si="1"/>
        <v>188.16</v>
      </c>
    </row>
    <row r="28" spans="1:4" ht="15.75">
      <c r="A28" s="12" t="s">
        <v>35</v>
      </c>
      <c r="B28" s="6"/>
      <c r="C28" s="3" t="s">
        <v>36</v>
      </c>
      <c r="D28" s="6" t="s">
        <v>25</v>
      </c>
    </row>
    <row r="29" spans="4:6" ht="12.75">
      <c r="D29" t="s">
        <v>37</v>
      </c>
      <c r="F29" s="14">
        <f>0.001*$C$9/(0.9*$H$1*$E$4)</f>
        <v>0.0005476190476190475</v>
      </c>
    </row>
    <row r="31" spans="1:4" ht="12.75">
      <c r="A31" t="s">
        <v>38</v>
      </c>
      <c r="C31" s="2"/>
      <c r="D31" s="1"/>
    </row>
    <row r="32" spans="3:4" ht="12.75">
      <c r="C32" s="2"/>
      <c r="D32" s="1"/>
    </row>
    <row r="33" ht="11.25" customHeight="1"/>
    <row r="37" spans="3:4" ht="12.75">
      <c r="C37" s="2"/>
      <c r="D37" s="1"/>
    </row>
    <row r="38" spans="3:4" ht="12.75">
      <c r="C38" s="2"/>
      <c r="D38" s="1"/>
    </row>
    <row r="39" spans="2:4" ht="12.75">
      <c r="B39" s="1"/>
      <c r="C39" s="2"/>
      <c r="D39" s="1"/>
    </row>
    <row r="40" spans="2:4" ht="12.75">
      <c r="B40" s="1"/>
      <c r="C40" s="2"/>
      <c r="D40" s="1"/>
    </row>
  </sheetData>
  <printOptions/>
  <pageMargins left="0.75" right="0.75" top="1" bottom="1" header="0.4921259845" footer="0.4921259845"/>
  <pageSetup horizontalDpi="300" verticalDpi="300" orientation="portrait" paperSize="9" r:id="rId6"/>
  <drawing r:id="rId5"/>
  <legacyDrawing r:id="rId4"/>
  <oleObjects>
    <oleObject progId="Word.Picture.8" shapeId="89906" r:id="rId1"/>
    <oleObject progId="Word.Picture.8" shapeId="156476" r:id="rId2"/>
    <oleObject progId="Equation.3" shapeId="17731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C9" sqref="C9"/>
    </sheetView>
  </sheetViews>
  <sheetFormatPr defaultColWidth="9.00390625" defaultRowHeight="12.75"/>
  <cols>
    <col min="1" max="1" width="10.75390625" style="0" customWidth="1"/>
    <col min="2" max="2" width="12.125" style="0" customWidth="1"/>
    <col min="3" max="3" width="8.75390625" style="0" customWidth="1"/>
    <col min="4" max="4" width="14.25390625" style="0" customWidth="1"/>
    <col min="5" max="5" width="10.125" style="0" customWidth="1"/>
  </cols>
  <sheetData>
    <row r="1" spans="1:8" ht="18">
      <c r="A1" s="11" t="s">
        <v>18</v>
      </c>
      <c r="D1" s="3" t="s">
        <v>11</v>
      </c>
      <c r="E1" s="3" t="s">
        <v>0</v>
      </c>
      <c r="F1" s="9">
        <v>0.2</v>
      </c>
      <c r="G1" s="3" t="s">
        <v>1</v>
      </c>
      <c r="H1" s="9">
        <v>0.42</v>
      </c>
    </row>
    <row r="2" spans="1:7" ht="12.75">
      <c r="A2" t="s">
        <v>12</v>
      </c>
      <c r="B2" s="7" t="s">
        <v>2</v>
      </c>
      <c r="C2" s="9">
        <v>1.5</v>
      </c>
      <c r="D2" s="7" t="s">
        <v>4</v>
      </c>
      <c r="E2" s="9">
        <v>1</v>
      </c>
      <c r="F2" s="7" t="s">
        <v>3</v>
      </c>
      <c r="G2" s="9">
        <v>1.15</v>
      </c>
    </row>
    <row r="3" spans="1:7" ht="12.75">
      <c r="A3" t="s">
        <v>13</v>
      </c>
      <c r="B3" s="3" t="s">
        <v>24</v>
      </c>
      <c r="C3" s="9">
        <v>20</v>
      </c>
      <c r="D3" s="3" t="s">
        <v>10</v>
      </c>
      <c r="E3" s="10">
        <f>$C$3*$E$2/$C$2</f>
        <v>13.333333333333334</v>
      </c>
      <c r="F3" s="3" t="s">
        <v>50</v>
      </c>
      <c r="G3" s="9">
        <v>2.2</v>
      </c>
    </row>
    <row r="4" spans="1:5" ht="12.75">
      <c r="A4" t="s">
        <v>14</v>
      </c>
      <c r="B4" s="3" t="s">
        <v>40</v>
      </c>
      <c r="C4" s="9">
        <v>500</v>
      </c>
      <c r="D4" s="3" t="s">
        <v>39</v>
      </c>
      <c r="E4" s="10">
        <f>$C$4/$G$2</f>
        <v>434.7826086956522</v>
      </c>
    </row>
    <row r="5" spans="1:3" ht="12.75">
      <c r="A5" t="s">
        <v>41</v>
      </c>
      <c r="B5" s="4" t="s">
        <v>23</v>
      </c>
      <c r="C5" s="19">
        <f>MAX(100*0.26*$G$3/$C$4,0.13)</f>
        <v>0.13</v>
      </c>
    </row>
    <row r="6" spans="1:7" ht="12.75">
      <c r="A6" s="13" t="s">
        <v>30</v>
      </c>
      <c r="B6" s="13" t="s">
        <v>31</v>
      </c>
      <c r="C6" s="9">
        <v>0.45</v>
      </c>
      <c r="D6" s="7" t="s">
        <v>53</v>
      </c>
      <c r="E6">
        <v>0.36</v>
      </c>
      <c r="F6" t="s">
        <v>54</v>
      </c>
      <c r="G6" s="1">
        <f>0.8*C6*(1-0.4*C6)</f>
        <v>0.2952</v>
      </c>
    </row>
    <row r="7" spans="1:5" ht="15.75">
      <c r="A7" s="12" t="s">
        <v>15</v>
      </c>
      <c r="B7" s="3" t="s">
        <v>7</v>
      </c>
      <c r="C7" s="1">
        <v>6</v>
      </c>
      <c r="D7" s="3" t="s">
        <v>7</v>
      </c>
      <c r="E7" s="1">
        <v>6</v>
      </c>
    </row>
    <row r="8" spans="2:5" ht="12.75">
      <c r="B8" s="5" t="s">
        <v>21</v>
      </c>
      <c r="C8">
        <v>20</v>
      </c>
      <c r="D8" s="5" t="s">
        <v>21</v>
      </c>
      <c r="E8">
        <v>20</v>
      </c>
    </row>
    <row r="9" spans="2:5" ht="12.75">
      <c r="B9" s="5" t="s">
        <v>9</v>
      </c>
      <c r="C9">
        <f>$C$8*$C$7^2/8</f>
        <v>90</v>
      </c>
      <c r="D9" s="5" t="s">
        <v>9</v>
      </c>
      <c r="E9">
        <f>$C$8*$C$7^2/8</f>
        <v>90</v>
      </c>
    </row>
    <row r="10" spans="2:7" ht="12.75">
      <c r="B10" s="3" t="s">
        <v>8</v>
      </c>
      <c r="C10" s="2">
        <f>($E$3/$E$4)*$F$1*$H$1*(1-SQRT(1-2*0.001*$C$9/($E$3*$F$1*$H$1*$H$1)))</f>
        <v>0.0005520000000000001</v>
      </c>
      <c r="D10" s="3" t="s">
        <v>51</v>
      </c>
      <c r="E10" s="1">
        <f>C9/(F1*H1*H1*1000*E3)</f>
        <v>0.1913265306122449</v>
      </c>
      <c r="F10" s="7" t="s">
        <v>52</v>
      </c>
      <c r="G10" s="1">
        <f>1-SQRT(1-2*E10)</f>
        <v>0.2142857142857143</v>
      </c>
    </row>
    <row r="11" spans="2:5" ht="12.75">
      <c r="B11" s="7" t="s">
        <v>22</v>
      </c>
      <c r="C11" s="1">
        <f>100*$C$10/$F$1/$H$1</f>
        <v>0.6571428571428573</v>
      </c>
      <c r="D11" s="3" t="s">
        <v>8</v>
      </c>
      <c r="E11" s="2">
        <f>G10*F1*H1*E3/E4</f>
        <v>0.0005520000000000001</v>
      </c>
    </row>
    <row r="12" spans="2:5" ht="12.75">
      <c r="B12" s="7" t="s">
        <v>28</v>
      </c>
      <c r="C12" t="b">
        <f>IF($C$11&gt;$C$5,TRUE,FALSE)</f>
        <v>1</v>
      </c>
      <c r="D12" s="7" t="s">
        <v>22</v>
      </c>
      <c r="E12" s="1">
        <f>100*$C$10/$F$1/$H$1</f>
        <v>0.6571428571428573</v>
      </c>
    </row>
    <row r="13" spans="2:5" ht="12.75">
      <c r="B13" s="13" t="s">
        <v>29</v>
      </c>
      <c r="C13" s="1">
        <f>0.01*C11*$E$4/(0.8*$E$3)</f>
        <v>0.26785714285714285</v>
      </c>
      <c r="D13" s="7" t="s">
        <v>28</v>
      </c>
      <c r="E13" t="b">
        <f>IF($C$11&gt;$C$5,TRUE,FALSE)</f>
        <v>1</v>
      </c>
    </row>
    <row r="14" spans="2:5" ht="12.75">
      <c r="B14" s="13" t="s">
        <v>32</v>
      </c>
      <c r="C14" t="b">
        <f>IF(C13&lt;$C$6,TRUE,FALSE)</f>
        <v>1</v>
      </c>
      <c r="D14" s="3" t="s">
        <v>55</v>
      </c>
      <c r="E14" t="b">
        <f>IF($E$10&lt;$G$6,TRUE,FALSE)</f>
        <v>1</v>
      </c>
    </row>
    <row r="15" spans="2:3" ht="12.75">
      <c r="B15" s="7" t="s">
        <v>33</v>
      </c>
      <c r="C15" s="1">
        <f>100*$C$6*0.8*$E$3/$E$4</f>
        <v>1.1039999999999999</v>
      </c>
    </row>
    <row r="16" ht="12.75">
      <c r="A16" t="s">
        <v>48</v>
      </c>
    </row>
    <row r="18" spans="1:5" ht="12.75">
      <c r="A18" t="s">
        <v>49</v>
      </c>
      <c r="C18" s="4" t="s">
        <v>56</v>
      </c>
      <c r="E18" s="4"/>
    </row>
    <row r="20" spans="1:5" ht="12.75">
      <c r="A20" s="23" t="s">
        <v>46</v>
      </c>
      <c r="B20" s="4" t="s">
        <v>47</v>
      </c>
      <c r="C20" s="24" t="s">
        <v>57</v>
      </c>
      <c r="D20" s="23" t="s">
        <v>46</v>
      </c>
      <c r="E20" t="s">
        <v>58</v>
      </c>
    </row>
    <row r="21" spans="1:5" ht="12.75">
      <c r="A21" s="1">
        <v>0</v>
      </c>
      <c r="B21" s="1">
        <f aca="true" t="shared" si="0" ref="B21:B27">1-SQRT(1-2*A21)</f>
        <v>0</v>
      </c>
      <c r="C21" s="1">
        <f>B21/0.8</f>
        <v>0</v>
      </c>
      <c r="D21" s="1">
        <v>0</v>
      </c>
      <c r="E21" s="25">
        <f>A21*$F$1*$H$1*$E$3/$E$4</f>
        <v>0</v>
      </c>
    </row>
    <row r="22" spans="1:5" ht="12.75">
      <c r="A22" s="1">
        <v>0.05</v>
      </c>
      <c r="B22" s="1">
        <f t="shared" si="0"/>
        <v>0.05131670194948623</v>
      </c>
      <c r="C22" s="1">
        <f aca="true" t="shared" si="1" ref="C22:C27">B22/0.8</f>
        <v>0.06414587743685779</v>
      </c>
      <c r="D22" s="1">
        <v>0.05</v>
      </c>
      <c r="E22" s="25">
        <f aca="true" t="shared" si="2" ref="E22:E27">A22*$F$1*$H$1*$E$3/$E$4</f>
        <v>0.00012880000000000001</v>
      </c>
    </row>
    <row r="23" spans="1:5" ht="12.75">
      <c r="A23" s="1">
        <v>0.1</v>
      </c>
      <c r="B23" s="1">
        <f t="shared" si="0"/>
        <v>0.10557280900008414</v>
      </c>
      <c r="C23" s="1">
        <f t="shared" si="1"/>
        <v>0.13196601125010518</v>
      </c>
      <c r="D23" s="1">
        <v>0.1</v>
      </c>
      <c r="E23" s="25">
        <f t="shared" si="2"/>
        <v>0.00025760000000000003</v>
      </c>
    </row>
    <row r="24" spans="1:5" ht="12.75">
      <c r="A24" s="1">
        <v>0.15</v>
      </c>
      <c r="B24" s="1">
        <f t="shared" si="0"/>
        <v>0.16333997346592444</v>
      </c>
      <c r="C24" s="1">
        <f t="shared" si="1"/>
        <v>0.20417496683240555</v>
      </c>
      <c r="D24" s="1">
        <v>0.15</v>
      </c>
      <c r="E24" s="25">
        <f t="shared" si="2"/>
        <v>0.00038639999999999996</v>
      </c>
    </row>
    <row r="25" spans="1:5" ht="12.75">
      <c r="A25" s="1">
        <v>0.2</v>
      </c>
      <c r="B25" s="1">
        <f t="shared" si="0"/>
        <v>0.2254033307585166</v>
      </c>
      <c r="C25" s="1">
        <f t="shared" si="1"/>
        <v>0.28175416344814574</v>
      </c>
      <c r="D25" s="1">
        <v>0.2</v>
      </c>
      <c r="E25" s="25">
        <f t="shared" si="2"/>
        <v>0.0005152000000000001</v>
      </c>
    </row>
    <row r="26" spans="1:5" ht="12.75">
      <c r="A26" s="1">
        <v>0.25</v>
      </c>
      <c r="B26" s="1">
        <f t="shared" si="0"/>
        <v>0.2928932188134524</v>
      </c>
      <c r="C26" s="1">
        <f t="shared" si="1"/>
        <v>0.3661165235168155</v>
      </c>
      <c r="D26" s="1">
        <v>0.25</v>
      </c>
      <c r="E26" s="25">
        <f t="shared" si="2"/>
        <v>0.000644</v>
      </c>
    </row>
    <row r="27" spans="1:5" ht="12.75">
      <c r="A27" s="1">
        <v>0.3</v>
      </c>
      <c r="B27" s="1">
        <f t="shared" si="0"/>
        <v>0.3675444679663241</v>
      </c>
      <c r="C27" s="1">
        <f t="shared" si="1"/>
        <v>0.4594305849579051</v>
      </c>
      <c r="D27" s="1">
        <v>0.3</v>
      </c>
      <c r="E27" s="25">
        <f t="shared" si="2"/>
        <v>0.0007727999999999999</v>
      </c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9" spans="1:7" ht="18">
      <c r="A39" s="11"/>
      <c r="D39" s="3"/>
      <c r="E39" s="3"/>
      <c r="F39" s="9"/>
      <c r="G39" s="3"/>
    </row>
    <row r="40" spans="2:7" ht="12.75">
      <c r="B40" s="7"/>
      <c r="C40" s="9"/>
      <c r="D40" s="7"/>
      <c r="E40" s="9"/>
      <c r="F40" s="7"/>
      <c r="G40" s="9"/>
    </row>
    <row r="41" spans="2:7" ht="12.75">
      <c r="B41" s="3"/>
      <c r="C41" s="9"/>
      <c r="D41" s="3"/>
      <c r="E41" s="10"/>
      <c r="F41" s="3"/>
      <c r="G41" s="9"/>
    </row>
    <row r="42" spans="2:5" ht="12.75">
      <c r="B42" s="3"/>
      <c r="C42" s="9"/>
      <c r="D42" s="3"/>
      <c r="E42" s="10"/>
    </row>
    <row r="43" spans="2:3" ht="12.75">
      <c r="B43" s="4"/>
      <c r="C43" s="19"/>
    </row>
    <row r="44" spans="1:3" ht="12.75">
      <c r="A44" s="13"/>
      <c r="B44" s="13"/>
      <c r="C44" s="9"/>
    </row>
    <row r="45" spans="1:3" ht="15.75">
      <c r="A45" s="12"/>
      <c r="B45" s="3"/>
      <c r="C45" s="1"/>
    </row>
    <row r="46" ht="12.75">
      <c r="B46" s="5"/>
    </row>
    <row r="47" ht="12.75">
      <c r="B47" s="5"/>
    </row>
    <row r="48" spans="2:3" ht="12.75">
      <c r="B48" s="3"/>
      <c r="C48" s="2"/>
    </row>
    <row r="49" spans="2:3" ht="12.75">
      <c r="B49" s="7"/>
      <c r="C49" s="1"/>
    </row>
    <row r="50" ht="12.75">
      <c r="B50" s="7"/>
    </row>
    <row r="51" spans="2:3" ht="12.75">
      <c r="B51" s="13"/>
      <c r="C51" s="1"/>
    </row>
    <row r="52" spans="2:5" ht="12.75">
      <c r="B52" s="13"/>
      <c r="D52" s="7"/>
      <c r="E52" s="1"/>
    </row>
  </sheetData>
  <printOptions/>
  <pageMargins left="0.75" right="0.75" top="1" bottom="1" header="0.4921259845" footer="0.4921259845"/>
  <pageSetup horizontalDpi="300" verticalDpi="300" orientation="portrait" paperSize="9" r:id="rId8"/>
  <drawing r:id="rId7"/>
  <legacyDrawing r:id="rId6"/>
  <oleObjects>
    <oleObject progId="Word.Picture.8" shapeId="602118" r:id="rId1"/>
    <oleObject progId="Word.Picture.8" shapeId="93399" r:id="rId2"/>
    <oleObject progId="Equation.3" shapeId="450410" r:id="rId3"/>
    <oleObject progId="Equation.3" shapeId="453285" r:id="rId4"/>
    <oleObject progId="Equation.3" shapeId="416353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D13" sqref="D13"/>
    </sheetView>
  </sheetViews>
  <sheetFormatPr defaultColWidth="9.00390625" defaultRowHeight="12.75"/>
  <sheetData>
    <row r="2" ht="12.75">
      <c r="B2" t="s">
        <v>88</v>
      </c>
    </row>
    <row r="4" spans="1:2" ht="12.75">
      <c r="A4" t="s">
        <v>87</v>
      </c>
      <c r="B4" t="s">
        <v>46</v>
      </c>
    </row>
    <row r="5" spans="1:5" ht="12.75">
      <c r="A5">
        <v>0</v>
      </c>
      <c r="B5">
        <f>0.5*(A5-A5^2)</f>
        <v>0</v>
      </c>
      <c r="C5">
        <v>0.2</v>
      </c>
      <c r="D5">
        <v>0.4</v>
      </c>
      <c r="E5">
        <v>0</v>
      </c>
    </row>
    <row r="6" spans="1:5" ht="12.75">
      <c r="A6">
        <v>0.1</v>
      </c>
      <c r="B6">
        <f>0.5*(A6-A6^2)</f>
        <v>0.045</v>
      </c>
      <c r="C6">
        <v>0.24</v>
      </c>
      <c r="D6">
        <v>0.44</v>
      </c>
      <c r="E6">
        <v>0.1</v>
      </c>
    </row>
    <row r="7" spans="1:5" ht="12.75">
      <c r="A7">
        <v>0.2</v>
      </c>
      <c r="B7">
        <f aca="true" t="shared" si="0" ref="B7:B15">0.5*(A7-A7^2)</f>
        <v>0.08</v>
      </c>
      <c r="C7">
        <v>0.277</v>
      </c>
      <c r="D7">
        <v>0.475</v>
      </c>
      <c r="E7">
        <v>0.2</v>
      </c>
    </row>
    <row r="8" spans="1:5" ht="12.75">
      <c r="A8">
        <v>0.3</v>
      </c>
      <c r="B8">
        <f t="shared" si="0"/>
        <v>0.105</v>
      </c>
      <c r="C8">
        <v>0.303</v>
      </c>
      <c r="D8">
        <v>0.503</v>
      </c>
      <c r="E8">
        <v>0.3</v>
      </c>
    </row>
    <row r="9" spans="1:5" ht="12.75">
      <c r="A9">
        <v>0.4</v>
      </c>
      <c r="B9">
        <f t="shared" si="0"/>
        <v>0.12</v>
      </c>
      <c r="C9">
        <v>0.318</v>
      </c>
      <c r="D9">
        <v>0.52</v>
      </c>
      <c r="E9">
        <v>0.4</v>
      </c>
    </row>
    <row r="10" spans="1:5" ht="12.75">
      <c r="A10">
        <v>0.5</v>
      </c>
      <c r="B10">
        <f t="shared" si="0"/>
        <v>0.125</v>
      </c>
      <c r="C10">
        <v>0.306</v>
      </c>
      <c r="D10">
        <v>0.505</v>
      </c>
      <c r="E10">
        <v>0.5</v>
      </c>
    </row>
    <row r="11" spans="1:5" ht="12.75">
      <c r="A11">
        <v>0.6</v>
      </c>
      <c r="B11">
        <f t="shared" si="0"/>
        <v>0.12</v>
      </c>
      <c r="C11">
        <v>0.292</v>
      </c>
      <c r="D11">
        <v>0.482</v>
      </c>
      <c r="E11">
        <v>0.6</v>
      </c>
    </row>
    <row r="12" spans="1:5" ht="12.75">
      <c r="A12">
        <v>0.7</v>
      </c>
      <c r="B12">
        <f t="shared" si="0"/>
        <v>0.10500000000000001</v>
      </c>
      <c r="C12">
        <v>0.267</v>
      </c>
      <c r="D12">
        <v>0.452</v>
      </c>
      <c r="E12">
        <v>0.7</v>
      </c>
    </row>
    <row r="13" spans="1:5" ht="12.75">
      <c r="A13">
        <v>0.8</v>
      </c>
      <c r="B13">
        <f t="shared" si="0"/>
        <v>0.07999999999999996</v>
      </c>
      <c r="C13">
        <v>0.242</v>
      </c>
      <c r="D13">
        <v>0.424</v>
      </c>
      <c r="E13">
        <v>0.8</v>
      </c>
    </row>
    <row r="14" spans="1:5" ht="12.75">
      <c r="A14">
        <v>0.9</v>
      </c>
      <c r="B14">
        <f t="shared" si="0"/>
        <v>0.044999999999999984</v>
      </c>
      <c r="C14">
        <v>0.215</v>
      </c>
      <c r="D14">
        <v>0.392</v>
      </c>
      <c r="E14">
        <v>0.9</v>
      </c>
    </row>
    <row r="15" spans="1:5" ht="12.75">
      <c r="A15">
        <v>1</v>
      </c>
      <c r="B15">
        <f t="shared" si="0"/>
        <v>0</v>
      </c>
      <c r="C15">
        <v>0.187</v>
      </c>
      <c r="D15">
        <v>0.362</v>
      </c>
      <c r="E15">
        <v>1</v>
      </c>
    </row>
    <row r="16" spans="3:5" ht="12.75">
      <c r="C16">
        <v>0.152</v>
      </c>
      <c r="D16">
        <v>0.335</v>
      </c>
      <c r="E16">
        <v>1.1</v>
      </c>
    </row>
    <row r="17" spans="3:5" ht="12.75">
      <c r="C17">
        <v>0.118</v>
      </c>
      <c r="D17">
        <v>0.302</v>
      </c>
      <c r="E17">
        <v>1.2</v>
      </c>
    </row>
    <row r="18" spans="3:5" ht="12.75">
      <c r="C18">
        <v>0.08</v>
      </c>
      <c r="D18">
        <v>0.27</v>
      </c>
      <c r="E18">
        <v>1.3</v>
      </c>
    </row>
    <row r="19" spans="3:5" ht="12.75">
      <c r="C19">
        <v>0.04</v>
      </c>
      <c r="D19">
        <v>0.23</v>
      </c>
      <c r="E19">
        <v>1.4</v>
      </c>
    </row>
    <row r="20" spans="4:5" ht="12.75">
      <c r="D20">
        <v>0.195</v>
      </c>
      <c r="E20">
        <v>1.5</v>
      </c>
    </row>
    <row r="21" spans="4:5" ht="12.75">
      <c r="D21">
        <v>0.16</v>
      </c>
      <c r="E21">
        <v>1.6</v>
      </c>
    </row>
    <row r="22" spans="4:5" ht="12.75">
      <c r="D22">
        <v>0.12</v>
      </c>
      <c r="E22">
        <v>1.7</v>
      </c>
    </row>
    <row r="23" spans="4:5" ht="12.75">
      <c r="D23">
        <v>0.08</v>
      </c>
      <c r="E23">
        <v>1.8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F17" sqref="F17"/>
    </sheetView>
  </sheetViews>
  <sheetFormatPr defaultColWidth="9.00390625" defaultRowHeight="12.75"/>
  <cols>
    <col min="9" max="9" width="11.25390625" style="0" bestFit="1" customWidth="1"/>
  </cols>
  <sheetData>
    <row r="1" spans="1:12" ht="18">
      <c r="A1" s="11" t="s">
        <v>18</v>
      </c>
      <c r="D1" s="3" t="s">
        <v>11</v>
      </c>
      <c r="E1" s="3" t="s">
        <v>0</v>
      </c>
      <c r="F1" s="26">
        <v>0.2</v>
      </c>
      <c r="G1" s="3" t="s">
        <v>1</v>
      </c>
      <c r="H1" s="28">
        <f>J1-L1</f>
        <v>0.42000000000000004</v>
      </c>
      <c r="I1" s="3" t="s">
        <v>59</v>
      </c>
      <c r="J1" s="27">
        <v>0.45</v>
      </c>
      <c r="K1" s="3" t="s">
        <v>62</v>
      </c>
      <c r="L1" s="27">
        <v>0.03</v>
      </c>
    </row>
    <row r="2" spans="5:10" ht="12.75">
      <c r="E2" t="s">
        <v>8</v>
      </c>
      <c r="F2" s="29">
        <v>0.0005520000000000001</v>
      </c>
      <c r="G2" t="s">
        <v>64</v>
      </c>
      <c r="H2" s="29">
        <v>30000</v>
      </c>
      <c r="I2" t="s">
        <v>65</v>
      </c>
      <c r="J2" s="29">
        <v>200000</v>
      </c>
    </row>
    <row r="3" spans="1:12" ht="12.75">
      <c r="A3" t="s">
        <v>60</v>
      </c>
      <c r="C3" t="s">
        <v>76</v>
      </c>
      <c r="D3">
        <f>F1*J1^3/12</f>
        <v>0.0015187500000000001</v>
      </c>
      <c r="G3" s="4" t="s">
        <v>83</v>
      </c>
      <c r="H3" s="29">
        <v>3</v>
      </c>
      <c r="K3" s="3" t="s">
        <v>68</v>
      </c>
      <c r="L3" s="29">
        <v>6</v>
      </c>
    </row>
    <row r="4" spans="1:8" ht="12.75">
      <c r="A4" t="s">
        <v>63</v>
      </c>
      <c r="C4" t="s">
        <v>61</v>
      </c>
      <c r="D4">
        <f>F2*(J1/2-L1)</f>
        <v>0.00010764000000000002</v>
      </c>
      <c r="G4" s="4" t="s">
        <v>82</v>
      </c>
      <c r="H4" s="29">
        <v>0.0006</v>
      </c>
    </row>
    <row r="6" spans="1:12" ht="12.75">
      <c r="A6" t="s">
        <v>77</v>
      </c>
      <c r="G6" t="s">
        <v>78</v>
      </c>
      <c r="H6" t="s">
        <v>79</v>
      </c>
      <c r="K6" t="s">
        <v>80</v>
      </c>
      <c r="L6">
        <v>0.012</v>
      </c>
    </row>
    <row r="8" spans="1:10" ht="12.75">
      <c r="A8" t="s">
        <v>86</v>
      </c>
      <c r="G8" t="s">
        <v>66</v>
      </c>
      <c r="H8">
        <f>H2/(1+H3)</f>
        <v>7500</v>
      </c>
      <c r="I8" s="4" t="s">
        <v>81</v>
      </c>
      <c r="J8">
        <f>J2/H8</f>
        <v>26.666666666666668</v>
      </c>
    </row>
    <row r="10" ht="12.75" hidden="1"/>
    <row r="11" ht="12.75" hidden="1"/>
    <row r="13" spans="1:9" ht="12.75">
      <c r="A13" s="30" t="s">
        <v>70</v>
      </c>
      <c r="E13" s="7" t="s">
        <v>73</v>
      </c>
      <c r="F13">
        <f>(5/384)*L6*L3^4/(H8*D3)</f>
        <v>0.017777777777777778</v>
      </c>
      <c r="H13" s="7" t="s">
        <v>84</v>
      </c>
      <c r="I13">
        <f>L3/250</f>
        <v>0.024</v>
      </c>
    </row>
    <row r="14" ht="12.75">
      <c r="E14" s="3"/>
    </row>
    <row r="15" spans="1:6" ht="12.75">
      <c r="A15" t="s">
        <v>67</v>
      </c>
      <c r="E15" s="3" t="s">
        <v>69</v>
      </c>
      <c r="F15">
        <f>$H$4*$J$8*$D$4/($D$3)</f>
        <v>0.0011339851851851852</v>
      </c>
    </row>
    <row r="16" ht="12.75">
      <c r="E16" s="3"/>
    </row>
    <row r="17" spans="1:6" ht="12.75">
      <c r="A17" s="30" t="s">
        <v>71</v>
      </c>
      <c r="E17" s="7" t="s">
        <v>74</v>
      </c>
      <c r="F17">
        <f>$F$15*$L$3^2/8</f>
        <v>0.005102933333333334</v>
      </c>
    </row>
    <row r="18" ht="12.75">
      <c r="E18" s="3"/>
    </row>
    <row r="19" spans="1:9" ht="12.75">
      <c r="A19" s="30" t="s">
        <v>72</v>
      </c>
      <c r="E19" s="7" t="s">
        <v>75</v>
      </c>
      <c r="F19">
        <f>F13+F17</f>
        <v>0.02288071111111111</v>
      </c>
      <c r="H19" s="7" t="s">
        <v>85</v>
      </c>
      <c r="I19" t="b">
        <f>IF(F19&lt;$I$13,TRUE,FALSE)</f>
        <v>1</v>
      </c>
    </row>
    <row r="21" ht="12.75">
      <c r="E21" s="3"/>
    </row>
  </sheetData>
  <printOptions/>
  <pageMargins left="0.75" right="0.75" top="1" bottom="1" header="0.4921259845" footer="0.4921259845"/>
  <pageSetup horizontalDpi="1200" verticalDpi="1200" orientation="portrait" paperSize="9" r:id="rId6"/>
  <legacyDrawing r:id="rId5"/>
  <oleObjects>
    <oleObject progId="Equation.3" shapeId="1215461" r:id="rId1"/>
    <oleObject progId="Equation.3" shapeId="1217613" r:id="rId2"/>
    <oleObject progId="Equation.3" shapeId="1217614" r:id="rId3"/>
    <oleObject progId="Equation.3" shapeId="1484801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48">
      <selection activeCell="I80" sqref="I80"/>
    </sheetView>
  </sheetViews>
  <sheetFormatPr defaultColWidth="9.00390625" defaultRowHeight="12.75"/>
  <cols>
    <col min="2" max="2" width="12.375" style="0" bestFit="1" customWidth="1"/>
    <col min="6" max="6" width="11.375" style="0" bestFit="1" customWidth="1"/>
    <col min="7" max="7" width="15.625" style="0" customWidth="1"/>
    <col min="8" max="8" width="21.00390625" style="0" customWidth="1"/>
    <col min="9" max="9" width="12.625" style="0" bestFit="1" customWidth="1"/>
    <col min="10" max="10" width="11.625" style="0" bestFit="1" customWidth="1"/>
    <col min="11" max="11" width="12.375" style="0" bestFit="1" customWidth="1"/>
  </cols>
  <sheetData>
    <row r="1" spans="1:6" ht="12.75">
      <c r="A1" t="s">
        <v>145</v>
      </c>
      <c r="F1" t="s">
        <v>182</v>
      </c>
    </row>
    <row r="2" ht="12.75">
      <c r="F2" t="s">
        <v>120</v>
      </c>
    </row>
    <row r="4" ht="12.75">
      <c r="F4" s="37" t="s">
        <v>121</v>
      </c>
    </row>
    <row r="5" ht="12.75">
      <c r="F5" t="s">
        <v>154</v>
      </c>
    </row>
    <row r="6" spans="6:9" ht="12.75">
      <c r="F6" s="31" t="s">
        <v>181</v>
      </c>
      <c r="I6" s="33">
        <f>1/8*(1.35*0.01+1.35*0.3*0.45*0.025+1.5*0.003)*36</f>
        <v>0.10150312500000001</v>
      </c>
    </row>
    <row r="7" ht="12.75">
      <c r="F7" t="s">
        <v>122</v>
      </c>
    </row>
    <row r="8" spans="6:9" ht="12.75">
      <c r="F8" s="31" t="s">
        <v>180</v>
      </c>
      <c r="I8" s="33">
        <f>1/8*(0.01+0.3*0.45*0.025+0.3*0.003)*B11^2</f>
        <v>0.0642375</v>
      </c>
    </row>
    <row r="10" spans="2:6" ht="12.75">
      <c r="B10" t="s">
        <v>119</v>
      </c>
      <c r="D10" t="s">
        <v>127</v>
      </c>
      <c r="E10" t="s">
        <v>13</v>
      </c>
      <c r="F10" t="s">
        <v>146</v>
      </c>
    </row>
    <row r="11" spans="2:8" ht="12.75">
      <c r="B11" s="6">
        <v>6</v>
      </c>
      <c r="E11" t="s">
        <v>125</v>
      </c>
      <c r="F11" t="s">
        <v>126</v>
      </c>
      <c r="G11" t="s">
        <v>128</v>
      </c>
      <c r="H11" t="s">
        <v>129</v>
      </c>
    </row>
    <row r="12" spans="1:3" ht="12.75">
      <c r="A12" s="30" t="s">
        <v>123</v>
      </c>
      <c r="B12" s="30"/>
      <c r="C12" s="30"/>
    </row>
    <row r="13" ht="12.75">
      <c r="E13" t="s">
        <v>138</v>
      </c>
    </row>
    <row r="14" spans="1:6" ht="12.75">
      <c r="A14" t="s">
        <v>11</v>
      </c>
      <c r="D14" s="6" t="s">
        <v>113</v>
      </c>
      <c r="E14" s="6" t="s">
        <v>114</v>
      </c>
      <c r="F14" s="6" t="s">
        <v>124</v>
      </c>
    </row>
    <row r="15" spans="1:16" ht="15.75">
      <c r="A15" s="6" t="s">
        <v>89</v>
      </c>
      <c r="B15" s="6" t="s">
        <v>90</v>
      </c>
      <c r="C15" s="6" t="s">
        <v>92</v>
      </c>
      <c r="D15" s="6" t="s">
        <v>104</v>
      </c>
      <c r="E15" s="6" t="s">
        <v>100</v>
      </c>
      <c r="F15" s="6" t="s">
        <v>16</v>
      </c>
      <c r="I15" s="6" t="s">
        <v>112</v>
      </c>
      <c r="J15" s="6" t="s">
        <v>111</v>
      </c>
      <c r="L15" t="s">
        <v>131</v>
      </c>
      <c r="P15" t="s">
        <v>133</v>
      </c>
    </row>
    <row r="16" spans="1:16" ht="14.25">
      <c r="A16" s="6"/>
      <c r="B16" s="6"/>
      <c r="C16" s="6"/>
      <c r="I16" s="13" t="s">
        <v>92</v>
      </c>
      <c r="J16" s="13" t="s">
        <v>93</v>
      </c>
      <c r="K16" s="6" t="s">
        <v>130</v>
      </c>
      <c r="L16" s="13" t="s">
        <v>132</v>
      </c>
      <c r="P16" s="13" t="s">
        <v>134</v>
      </c>
    </row>
    <row r="17" spans="1:16" ht="12.75">
      <c r="A17" s="6">
        <v>0.3</v>
      </c>
      <c r="B17" s="6">
        <v>0.45</v>
      </c>
      <c r="C17" s="6">
        <v>0.03</v>
      </c>
      <c r="D17" s="39">
        <f>1.35*0.01+1.35*0.3*0.45*0.025+1.5*0.003</f>
        <v>0.022556250000000003</v>
      </c>
      <c r="E17" s="39">
        <f>1/8*D17*B11^2</f>
        <v>0.10150312500000001</v>
      </c>
      <c r="F17" s="40">
        <f>A17*(B17-C17)*20/1.5*1.15/500*(1-(1-2*1.5*E17/(A17*(B17-C17)^2*20))^0.5)</f>
        <v>0.0006028830517750517</v>
      </c>
      <c r="I17" s="8">
        <f>200000/29000</f>
        <v>6.896551724137931</v>
      </c>
      <c r="J17" s="8">
        <f>I17*(1+L17)</f>
        <v>22.06896551724138</v>
      </c>
      <c r="K17" s="6">
        <f>2*A17*B17/(A17+2*B17)</f>
        <v>0.22500000000000003</v>
      </c>
      <c r="L17" s="6">
        <v>2.2</v>
      </c>
      <c r="P17" s="6">
        <v>0.0058</v>
      </c>
    </row>
    <row r="18" ht="12.75">
      <c r="H18" t="s">
        <v>144</v>
      </c>
    </row>
    <row r="19" spans="1:8" ht="12.75">
      <c r="A19" s="34" t="s">
        <v>185</v>
      </c>
      <c r="B19" s="43"/>
      <c r="C19" s="43"/>
      <c r="D19" s="43"/>
      <c r="H19" s="43">
        <f>6/250</f>
        <v>0.024</v>
      </c>
    </row>
    <row r="20" spans="1:6" ht="12.75">
      <c r="A20" t="s">
        <v>163</v>
      </c>
      <c r="F20" s="6" t="s">
        <v>166</v>
      </c>
    </row>
    <row r="21" spans="1:6" ht="12.75">
      <c r="A21" s="6" t="s">
        <v>105</v>
      </c>
      <c r="B21" s="6" t="s">
        <v>106</v>
      </c>
      <c r="C21" s="6" t="s">
        <v>139</v>
      </c>
      <c r="D21" s="6" t="s">
        <v>107</v>
      </c>
      <c r="E21" s="6"/>
      <c r="F21" s="35" t="s">
        <v>102</v>
      </c>
    </row>
    <row r="22" spans="1:6" ht="12.75">
      <c r="A22" s="6">
        <f>1/12*A17*B17^3</f>
        <v>0.002278125</v>
      </c>
      <c r="B22" s="6">
        <v>29000</v>
      </c>
      <c r="C22" s="6">
        <f>B22/(1+2.2)</f>
        <v>9062.5</v>
      </c>
      <c r="D22" s="6">
        <v>200000</v>
      </c>
      <c r="E22" s="6"/>
      <c r="F22" s="45">
        <f>5/384*D17*B11^4/(C22*A22)</f>
        <v>0.018436781609195405</v>
      </c>
    </row>
    <row r="24" spans="1:6" ht="12.75">
      <c r="A24" t="s">
        <v>164</v>
      </c>
      <c r="F24" t="s">
        <v>167</v>
      </c>
    </row>
    <row r="25" spans="1:6" ht="12.75">
      <c r="A25" s="13" t="s">
        <v>82</v>
      </c>
      <c r="B25" s="6">
        <v>0.00058</v>
      </c>
      <c r="C25" s="6" t="s">
        <v>109</v>
      </c>
      <c r="F25" s="35" t="s">
        <v>102</v>
      </c>
    </row>
    <row r="26" spans="1:6" ht="12.75">
      <c r="A26" s="6" t="s">
        <v>108</v>
      </c>
      <c r="B26" s="36">
        <f>(1+3)*D22/B22</f>
        <v>27.586206896551722</v>
      </c>
      <c r="C26" s="14">
        <f>B25*B26*F17*(B17*0.5-C17)/A22</f>
        <v>0.0008256768709083835</v>
      </c>
      <c r="F26" s="45">
        <f>1/8*C26*B11*B11</f>
        <v>0.003715545919087726</v>
      </c>
    </row>
    <row r="27" spans="6:8" ht="12.75">
      <c r="F27" t="s">
        <v>168</v>
      </c>
      <c r="H27" s="46" t="s">
        <v>169</v>
      </c>
    </row>
    <row r="28" spans="1:8" ht="12.75">
      <c r="A28" s="30" t="s">
        <v>165</v>
      </c>
      <c r="F28" s="30" t="s">
        <v>150</v>
      </c>
      <c r="H28" s="47" t="s">
        <v>179</v>
      </c>
    </row>
    <row r="29" ht="12.75">
      <c r="F29" s="44">
        <f>F22+F26</f>
        <v>0.022152327528283132</v>
      </c>
    </row>
    <row r="31" spans="1:8" ht="12.75">
      <c r="A31" s="37" t="s">
        <v>170</v>
      </c>
      <c r="B31" s="37"/>
      <c r="C31" s="37"/>
      <c r="D31" s="37"/>
      <c r="E31" s="37"/>
      <c r="F31" s="37"/>
      <c r="G31" s="37"/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2" ht="18">
      <c r="A33" s="41" t="s">
        <v>135</v>
      </c>
      <c r="B33" s="37"/>
    </row>
    <row r="34" ht="12.75">
      <c r="D34" t="s">
        <v>155</v>
      </c>
    </row>
    <row r="36" spans="1:9" ht="12.75">
      <c r="A36" t="s">
        <v>136</v>
      </c>
      <c r="D36" t="s">
        <v>116</v>
      </c>
      <c r="I36" t="s">
        <v>147</v>
      </c>
    </row>
    <row r="39" spans="1:9" ht="12.75">
      <c r="A39" t="s">
        <v>91</v>
      </c>
      <c r="I39" t="s">
        <v>148</v>
      </c>
    </row>
    <row r="41" spans="1:2" ht="12.75">
      <c r="A41" s="30"/>
      <c r="B41" s="30"/>
    </row>
    <row r="42" spans="1:4" ht="12.75">
      <c r="A42" t="s">
        <v>115</v>
      </c>
      <c r="B42" t="s">
        <v>137</v>
      </c>
      <c r="D42" t="s">
        <v>117</v>
      </c>
    </row>
    <row r="43" spans="1:4" ht="12.75">
      <c r="A43" s="6" t="s">
        <v>94</v>
      </c>
      <c r="B43" s="6" t="s">
        <v>95</v>
      </c>
      <c r="C43" s="6" t="s">
        <v>139</v>
      </c>
      <c r="D43" s="6" t="s">
        <v>96</v>
      </c>
    </row>
    <row r="44" spans="1:4" ht="12.75">
      <c r="A44" s="6">
        <f>(0.5*B17*A17*B17+J17*F17*(B17-C17))/(A17*B17+J17*F17)</f>
        <v>0.2424941906026689</v>
      </c>
      <c r="B44" s="38">
        <f>1/12*A17*B17^3+A17*B17*(A44-0.5*B17)^2+J17*F17*(B17-C17-A44)^2</f>
        <v>0.0027386595676152587</v>
      </c>
      <c r="C44" s="6">
        <f>29000/(1+2.2)</f>
        <v>9062.5</v>
      </c>
      <c r="D44" s="49">
        <f>1/(C44*B44)</f>
        <v>0.040291545868291985</v>
      </c>
    </row>
    <row r="47" spans="1:2" ht="18">
      <c r="A47" s="41" t="s">
        <v>140</v>
      </c>
      <c r="B47" s="37"/>
    </row>
    <row r="49" spans="1:19" ht="12.75">
      <c r="A49" t="s">
        <v>115</v>
      </c>
      <c r="F49" t="s">
        <v>116</v>
      </c>
      <c r="H49" t="s">
        <v>149</v>
      </c>
      <c r="K49" t="s">
        <v>178</v>
      </c>
      <c r="M49" t="s">
        <v>160</v>
      </c>
      <c r="P49" t="s">
        <v>171</v>
      </c>
      <c r="S49" t="s">
        <v>174</v>
      </c>
    </row>
    <row r="50" spans="1:20" ht="18.75">
      <c r="A50" s="32" t="s">
        <v>141</v>
      </c>
      <c r="B50" s="30"/>
      <c r="H50" s="6" t="s">
        <v>156</v>
      </c>
      <c r="K50" s="6" t="s">
        <v>177</v>
      </c>
      <c r="M50" s="42" t="s">
        <v>175</v>
      </c>
      <c r="N50" t="s">
        <v>161</v>
      </c>
      <c r="Q50" s="6" t="s">
        <v>172</v>
      </c>
      <c r="T50" t="s">
        <v>173</v>
      </c>
    </row>
    <row r="53" ht="12.75">
      <c r="A53" s="6" t="s">
        <v>158</v>
      </c>
    </row>
    <row r="54" spans="1:9" ht="12.75">
      <c r="A54" s="6" t="s">
        <v>157</v>
      </c>
      <c r="B54" s="6" t="s">
        <v>101</v>
      </c>
      <c r="C54" s="42" t="s">
        <v>159</v>
      </c>
      <c r="D54" s="6" t="s">
        <v>98</v>
      </c>
      <c r="E54" s="6" t="s">
        <v>115</v>
      </c>
      <c r="F54" s="6" t="s">
        <v>118</v>
      </c>
      <c r="G54" s="6" t="s">
        <v>117</v>
      </c>
      <c r="H54" s="6" t="s">
        <v>151</v>
      </c>
      <c r="I54" t="s">
        <v>143</v>
      </c>
    </row>
    <row r="55" spans="1:9" ht="12.75">
      <c r="A55" s="6"/>
      <c r="B55" s="6"/>
      <c r="C55" s="6"/>
      <c r="D55" s="6"/>
      <c r="E55" s="6" t="s">
        <v>97</v>
      </c>
      <c r="F55" s="6" t="s">
        <v>142</v>
      </c>
      <c r="G55" s="6" t="s">
        <v>99</v>
      </c>
      <c r="H55" s="6" t="s">
        <v>103</v>
      </c>
      <c r="I55" s="35" t="s">
        <v>102</v>
      </c>
    </row>
    <row r="56" spans="1:9" ht="12.75">
      <c r="A56" s="6">
        <f>I8</f>
        <v>0.0642375</v>
      </c>
      <c r="B56" s="36">
        <f>1.5*F56/(B17-E56)</f>
        <v>0.006614568596101168</v>
      </c>
      <c r="C56" s="6">
        <f>1-0.5*(B56/A56)^2</f>
        <v>0.9946985362978439</v>
      </c>
      <c r="D56" s="6">
        <f>F17/(A17*(B17-C17))</f>
        <v>0.004784786125198823</v>
      </c>
      <c r="E56" s="6">
        <f>(-J17*D56+(J17*J17*D56*D56+2*J17*D56)^0.5)*(B17-C17)</f>
        <v>0.15369275264446478</v>
      </c>
      <c r="F56" s="6">
        <f>1/3*A17*E56^3+J17*F17*(B17-C17-E56)^2</f>
        <v>0.001306629742103403</v>
      </c>
      <c r="G56" s="50">
        <f>1/(C44*F56)</f>
        <v>0.08444995856942197</v>
      </c>
      <c r="H56" s="6">
        <f>A56*((1-C56)*D44+C56*G56)</f>
        <v>0.005409815943637389</v>
      </c>
      <c r="I56" s="51">
        <f>5/48*B11*B11*H56</f>
        <v>0.020286809788640208</v>
      </c>
    </row>
    <row r="59" ht="12.75">
      <c r="A59" s="30" t="s">
        <v>186</v>
      </c>
    </row>
    <row r="61" ht="12.75">
      <c r="A61" s="9"/>
    </row>
    <row r="62" spans="1:8" ht="12.75">
      <c r="A62" s="6" t="s">
        <v>183</v>
      </c>
      <c r="B62" s="6"/>
      <c r="C62" s="6"/>
      <c r="D62" s="6"/>
      <c r="E62" s="35" t="s">
        <v>152</v>
      </c>
      <c r="F62" s="6"/>
      <c r="H62" s="6"/>
    </row>
    <row r="63" spans="1:10" ht="12.75">
      <c r="A63" s="51">
        <f>F26</f>
        <v>0.003715545919087726</v>
      </c>
      <c r="B63" s="6"/>
      <c r="C63" s="6"/>
      <c r="D63" s="6"/>
      <c r="E63" s="6" t="s">
        <v>110</v>
      </c>
      <c r="F63" s="6"/>
      <c r="H63" s="6"/>
      <c r="J63" s="6"/>
    </row>
    <row r="64" spans="1:6" ht="12.75">
      <c r="A64" s="6"/>
      <c r="B64" s="38"/>
      <c r="C64" s="14"/>
      <c r="D64" s="6"/>
      <c r="E64" s="51">
        <f>I56+A63</f>
        <v>0.024002355707727935</v>
      </c>
      <c r="F64" s="6"/>
    </row>
    <row r="66" spans="1:2" ht="12.75">
      <c r="A66" s="9" t="s">
        <v>162</v>
      </c>
      <c r="B66" s="6"/>
    </row>
    <row r="67" spans="1:2" ht="12.75">
      <c r="A67" s="6"/>
      <c r="B67" s="6"/>
    </row>
    <row r="68" spans="1:8" ht="12.75">
      <c r="A68" s="6" t="s">
        <v>153</v>
      </c>
      <c r="B68" s="48">
        <f>6/250</f>
        <v>0.024</v>
      </c>
      <c r="F68" s="37" t="s">
        <v>176</v>
      </c>
      <c r="G68" s="37"/>
      <c r="H68" s="37"/>
    </row>
    <row r="69" spans="6:8" ht="15.75">
      <c r="F69" s="52">
        <f>E64</f>
        <v>0.024002355707727935</v>
      </c>
      <c r="G69" s="54" t="s">
        <v>184</v>
      </c>
      <c r="H69" s="53">
        <f>B68</f>
        <v>0.024</v>
      </c>
    </row>
    <row r="73" ht="12.75">
      <c r="J73" s="6"/>
    </row>
  </sheetData>
  <printOptions/>
  <pageMargins left="0.75" right="0.75" top="1" bottom="1" header="0.4921259845" footer="0.4921259845"/>
  <pageSetup horizontalDpi="300" verticalDpi="300" orientation="portrait" paperSize="9" r:id="rId11"/>
  <drawing r:id="rId10"/>
  <legacyDrawing r:id="rId9"/>
  <oleObjects>
    <oleObject progId="Word.Picture.8" shapeId="19043" r:id="rId1"/>
    <oleObject progId="Word.Picture.8" shapeId="24154" r:id="rId2"/>
    <oleObject progId="Equation.3" shapeId="157236" r:id="rId3"/>
    <oleObject progId="Equation.3" shapeId="202834" r:id="rId4"/>
    <oleObject progId="Equation.3" shapeId="88790" r:id="rId5"/>
    <oleObject progId="Equation.3" shapeId="108295" r:id="rId6"/>
    <oleObject progId="Equation.3" shapeId="277629" r:id="rId7"/>
    <oleObject progId="Equation.3" shapeId="39848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Holický</dc:creator>
  <cp:keywords/>
  <dc:description/>
  <cp:lastModifiedBy>Jana Markova</cp:lastModifiedBy>
  <dcterms:created xsi:type="dcterms:W3CDTF">2002-10-14T09:54:32Z</dcterms:created>
  <dcterms:modified xsi:type="dcterms:W3CDTF">2002-12-04T15:17:17Z</dcterms:modified>
  <cp:category/>
  <cp:version/>
  <cp:contentType/>
  <cp:contentStatus/>
</cp:coreProperties>
</file>